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192.168.10.10\financeiro\2024\Programação 2024\Reprogramação Orçamentária\"/>
    </mc:Choice>
  </mc:AlternateContent>
  <xr:revisionPtr revIDLastSave="0" documentId="13_ncr:1_{B51C7EE6-24EF-4FC6-A66D-090035A2E8DA}" xr6:coauthVersionLast="47" xr6:coauthVersionMax="47" xr10:uidLastSave="{00000000-0000-0000-0000-000000000000}"/>
  <bookViews>
    <workbookView xWindow="-110" yWindow="-110" windowWidth="19420" windowHeight="10300" xr2:uid="{00000000-000D-0000-FFFF-FFFF00000000}"/>
  </bookViews>
  <sheets>
    <sheet name="Anexo 4.Quadro Descritivo." sheetId="1" r:id="rId1"/>
    <sheet name="Planilha1" sheetId="2" state="hidden" r:id="rId2"/>
  </sheets>
  <definedNames>
    <definedName name="__xlfn_IFERROR">#N/A</definedName>
    <definedName name="_xlnm._FilterDatabase" localSheetId="0" hidden="1">'Anexo 4.Quadro Descritivo.'!$A$1:$AP$1</definedName>
    <definedName name="A" localSheetId="0">#REF!</definedName>
    <definedName name="A">#REF!</definedName>
    <definedName name="Anexo">#REF!</definedName>
    <definedName name="Anexo_1.4.4">#REF!</definedName>
    <definedName name="ar">#N/A</definedName>
    <definedName name="_xlnm.Print_Area" localSheetId="0">'Anexo 4.Quadro Descritivo.'!$A$1:$L$673</definedName>
    <definedName name="asas">#REF!</definedName>
    <definedName name="ass">#REF!</definedName>
    <definedName name="_xlnm.Database" localSheetId="0">#REF!</definedName>
    <definedName name="_xlnm.Database">#REF!</definedName>
    <definedName name="banco_de_dados_sym">#REF!</definedName>
    <definedName name="Copia">#REF!</definedName>
    <definedName name="copia2">#REF!</definedName>
    <definedName name="_xlnm.Criteria">#REF!</definedName>
    <definedName name="dados">#REF!</definedName>
    <definedName name="Database">#REF!</definedName>
    <definedName name="DEZEMBRO">#REF!</definedName>
    <definedName name="huala">#REF!</definedName>
    <definedName name="kk">#REF!</definedName>
    <definedName name="Percentual5">#REF!</definedName>
    <definedName name="PJ2anos">#REF!,#REF!</definedName>
    <definedName name="PREs">#N/A</definedName>
    <definedName name="Presid">#N/A</definedName>
    <definedName name="X">#REF!</definedName>
    <definedName name="XFE1048575">#REF!</definedName>
    <definedName name="XFe104857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50" i="1" l="1"/>
  <c r="G650" i="1"/>
  <c r="E539" i="1"/>
  <c r="E538" i="1"/>
  <c r="F554" i="1"/>
  <c r="J37" i="1" l="1"/>
  <c r="J39" i="1"/>
  <c r="I40" i="1"/>
  <c r="H303" i="1"/>
  <c r="J636" i="1"/>
  <c r="J637" i="1"/>
  <c r="J638" i="1"/>
  <c r="L663" i="1"/>
  <c r="J662" i="1"/>
  <c r="I663" i="1"/>
  <c r="E663" i="1"/>
  <c r="D663" i="1"/>
  <c r="J648" i="1"/>
  <c r="J600" i="1"/>
  <c r="J601" i="1"/>
  <c r="J602" i="1"/>
  <c r="J568" i="1"/>
  <c r="J569" i="1"/>
  <c r="J570" i="1"/>
  <c r="J571" i="1"/>
  <c r="J572" i="1"/>
  <c r="E559" i="1"/>
  <c r="D559" i="1"/>
  <c r="J557" i="1"/>
  <c r="J558" i="1"/>
  <c r="J527" i="1"/>
  <c r="I528" i="1"/>
  <c r="J513" i="1"/>
  <c r="J514" i="1"/>
  <c r="J479" i="1"/>
  <c r="J480" i="1"/>
  <c r="H477" i="1"/>
  <c r="H478" i="1"/>
  <c r="H479" i="1"/>
  <c r="H480" i="1"/>
  <c r="J456" i="1"/>
  <c r="J457" i="1"/>
  <c r="J458" i="1"/>
  <c r="E445" i="1"/>
  <c r="D445" i="1"/>
  <c r="J422" i="1"/>
  <c r="J372" i="1"/>
  <c r="J373" i="1"/>
  <c r="J374" i="1"/>
  <c r="J375" i="1"/>
  <c r="J376" i="1"/>
  <c r="J377" i="1"/>
  <c r="I378" i="1"/>
  <c r="H376" i="1"/>
  <c r="H377" i="1"/>
  <c r="J288" i="1"/>
  <c r="J289" i="1"/>
  <c r="J290" i="1"/>
  <c r="J291" i="1"/>
  <c r="J292" i="1"/>
  <c r="J293" i="1"/>
  <c r="J294" i="1"/>
  <c r="J295" i="1"/>
  <c r="J296" i="1"/>
  <c r="J297" i="1"/>
  <c r="J298" i="1"/>
  <c r="J299" i="1"/>
  <c r="J300" i="1"/>
  <c r="J301" i="1"/>
  <c r="J302" i="1"/>
  <c r="J303" i="1"/>
  <c r="J304" i="1"/>
  <c r="J305" i="1"/>
  <c r="J306" i="1"/>
  <c r="J307" i="1"/>
  <c r="J308" i="1"/>
  <c r="J309" i="1"/>
  <c r="J310" i="1"/>
  <c r="H202" i="1"/>
  <c r="E325" i="1"/>
  <c r="D325" i="1"/>
  <c r="H324" i="1"/>
  <c r="F324" i="1"/>
  <c r="G324" i="1" s="1"/>
  <c r="H174" i="1"/>
  <c r="H175" i="1"/>
  <c r="H176" i="1"/>
  <c r="H177" i="1"/>
  <c r="H178" i="1"/>
  <c r="H179" i="1"/>
  <c r="H180" i="1"/>
  <c r="H181" i="1"/>
  <c r="H182" i="1"/>
  <c r="G142" i="1"/>
  <c r="H142" i="1"/>
  <c r="J80" i="1"/>
  <c r="J81" i="1"/>
  <c r="J82" i="1"/>
  <c r="J83" i="1"/>
  <c r="J84" i="1"/>
  <c r="J85" i="1"/>
  <c r="J86" i="1"/>
  <c r="J87" i="1"/>
  <c r="I71" i="1"/>
  <c r="I57" i="1"/>
  <c r="I325" i="1"/>
  <c r="H322" i="1"/>
  <c r="F322" i="1"/>
  <c r="G322" i="1" s="1"/>
  <c r="I15" i="1" l="1"/>
  <c r="J15" i="1" s="1"/>
  <c r="H648" i="1"/>
  <c r="H493" i="1"/>
  <c r="H494" i="1"/>
  <c r="F320" i="1" l="1"/>
  <c r="F409" i="1"/>
  <c r="F387" i="1"/>
  <c r="F479" i="1"/>
  <c r="F374" i="1"/>
  <c r="F362" i="1"/>
  <c r="F338" i="1"/>
  <c r="F336" i="1"/>
  <c r="F79" i="1" l="1"/>
  <c r="F297" i="1"/>
  <c r="G304" i="1"/>
  <c r="E528" i="1" l="1"/>
  <c r="F570" i="1"/>
  <c r="F569" i="1"/>
  <c r="F568" i="1"/>
  <c r="F552" i="1"/>
  <c r="F525" i="1"/>
  <c r="F524" i="1"/>
  <c r="F514" i="1"/>
  <c r="F492" i="1"/>
  <c r="F491" i="1"/>
  <c r="F494" i="1"/>
  <c r="F478" i="1"/>
  <c r="F337" i="1"/>
  <c r="F335" i="1"/>
  <c r="F420" i="1"/>
  <c r="F373" i="1"/>
  <c r="F242" i="1"/>
  <c r="G333" i="1" l="1"/>
  <c r="H552" i="1" l="1"/>
  <c r="G537" i="1"/>
  <c r="G539" i="1"/>
  <c r="G540" i="1"/>
  <c r="G541" i="1"/>
  <c r="G536" i="1"/>
  <c r="H568" i="1" l="1"/>
  <c r="H569" i="1"/>
  <c r="H570" i="1"/>
  <c r="H571" i="1"/>
  <c r="H572" i="1"/>
  <c r="E378" i="1"/>
  <c r="D378" i="1"/>
  <c r="D353" i="1"/>
  <c r="J339" i="1"/>
  <c r="J340" i="1"/>
  <c r="J341" i="1"/>
  <c r="J342" i="1"/>
  <c r="J343" i="1"/>
  <c r="J344" i="1"/>
  <c r="J345" i="1"/>
  <c r="J346" i="1"/>
  <c r="J347" i="1"/>
  <c r="J348" i="1"/>
  <c r="J349" i="1"/>
  <c r="J350" i="1"/>
  <c r="J351" i="1"/>
  <c r="J352" i="1"/>
  <c r="H339" i="1"/>
  <c r="H340" i="1"/>
  <c r="H341" i="1"/>
  <c r="H342" i="1"/>
  <c r="H343" i="1"/>
  <c r="H344" i="1"/>
  <c r="H345" i="1"/>
  <c r="H346" i="1"/>
  <c r="H347" i="1"/>
  <c r="H348" i="1"/>
  <c r="H349" i="1"/>
  <c r="H350" i="1"/>
  <c r="H351" i="1"/>
  <c r="H352" i="1"/>
  <c r="G339" i="1"/>
  <c r="G340" i="1"/>
  <c r="G341" i="1"/>
  <c r="G342" i="1"/>
  <c r="G343" i="1"/>
  <c r="G344" i="1"/>
  <c r="G345" i="1"/>
  <c r="G346" i="1"/>
  <c r="G347" i="1"/>
  <c r="G348" i="1"/>
  <c r="G349" i="1"/>
  <c r="G350" i="1"/>
  <c r="G351" i="1"/>
  <c r="G352" i="1"/>
  <c r="I209" i="1"/>
  <c r="I183" i="1"/>
  <c r="I147" i="1"/>
  <c r="H50" i="1"/>
  <c r="F455" i="1"/>
  <c r="F269" i="1"/>
  <c r="F243" i="1"/>
  <c r="F127" i="1"/>
  <c r="F96" i="1"/>
  <c r="D71" i="1"/>
  <c r="G70" i="1"/>
  <c r="H70" i="1"/>
  <c r="L542" i="1"/>
  <c r="I542" i="1"/>
  <c r="J542" i="1" s="1"/>
  <c r="D542" i="1"/>
  <c r="C542" i="1"/>
  <c r="J541" i="1"/>
  <c r="H541" i="1"/>
  <c r="H540" i="1"/>
  <c r="J539" i="1"/>
  <c r="H539" i="1"/>
  <c r="J538" i="1"/>
  <c r="H538" i="1"/>
  <c r="J536" i="1"/>
  <c r="H536" i="1"/>
  <c r="E542" i="1" l="1"/>
  <c r="G538" i="1"/>
  <c r="H542" i="1"/>
  <c r="F542" i="1"/>
  <c r="G542" i="1" l="1"/>
  <c r="D311" i="1" l="1"/>
  <c r="D667" i="1"/>
  <c r="F526" i="1"/>
  <c r="G660" i="1" l="1"/>
  <c r="G661" i="1"/>
  <c r="G659" i="1"/>
  <c r="G649" i="1"/>
  <c r="G637" i="1"/>
  <c r="G625" i="1"/>
  <c r="G590" i="1"/>
  <c r="G591" i="1" s="1"/>
  <c r="G568" i="1"/>
  <c r="G571" i="1"/>
  <c r="G567" i="1"/>
  <c r="G552" i="1"/>
  <c r="G555" i="1"/>
  <c r="G557" i="1"/>
  <c r="G551" i="1"/>
  <c r="G527" i="1"/>
  <c r="G491" i="1"/>
  <c r="G492" i="1"/>
  <c r="G493" i="1"/>
  <c r="G494" i="1"/>
  <c r="G477" i="1"/>
  <c r="G455" i="1"/>
  <c r="G457" i="1"/>
  <c r="G458" i="1"/>
  <c r="G441" i="1"/>
  <c r="G443" i="1"/>
  <c r="G444" i="1"/>
  <c r="G440" i="1"/>
  <c r="G409" i="1"/>
  <c r="G410" i="1"/>
  <c r="G398" i="1"/>
  <c r="G399" i="1"/>
  <c r="G387" i="1"/>
  <c r="G388" i="1"/>
  <c r="G386" i="1"/>
  <c r="G373" i="1"/>
  <c r="G375" i="1"/>
  <c r="G376" i="1"/>
  <c r="G377" i="1"/>
  <c r="G362" i="1"/>
  <c r="G361" i="1"/>
  <c r="G320" i="1"/>
  <c r="G321" i="1"/>
  <c r="G288" i="1"/>
  <c r="G289" i="1"/>
  <c r="G290" i="1"/>
  <c r="G291" i="1"/>
  <c r="G292" i="1"/>
  <c r="G293" i="1"/>
  <c r="G294" i="1"/>
  <c r="G307" i="1"/>
  <c r="G286" i="1"/>
  <c r="G227" i="1"/>
  <c r="G228" i="1"/>
  <c r="G229" i="1"/>
  <c r="G231" i="1"/>
  <c r="G203" i="1"/>
  <c r="G205" i="1"/>
  <c r="G200" i="1"/>
  <c r="G176" i="1"/>
  <c r="G179" i="1"/>
  <c r="G173" i="1"/>
  <c r="G144" i="1"/>
  <c r="G139" i="1"/>
  <c r="G126" i="1"/>
  <c r="G128" i="1"/>
  <c r="G125" i="1"/>
  <c r="G116" i="1"/>
  <c r="G117" i="1" s="1"/>
  <c r="G106" i="1"/>
  <c r="G107" i="1"/>
  <c r="G105" i="1"/>
  <c r="G81" i="1"/>
  <c r="G82" i="1"/>
  <c r="G85" i="1"/>
  <c r="G86" i="1"/>
  <c r="G87" i="1"/>
  <c r="G50" i="1"/>
  <c r="G51" i="1"/>
  <c r="G52" i="1"/>
  <c r="G55" i="1"/>
  <c r="G37" i="1"/>
  <c r="G26" i="1"/>
  <c r="G11" i="1"/>
  <c r="L573" i="1"/>
  <c r="I573" i="1"/>
  <c r="J573" i="1" s="1"/>
  <c r="E573" i="1"/>
  <c r="D573" i="1"/>
  <c r="C573" i="1"/>
  <c r="G572" i="1"/>
  <c r="G570" i="1"/>
  <c r="G569" i="1"/>
  <c r="J567" i="1"/>
  <c r="H567" i="1"/>
  <c r="I131" i="1"/>
  <c r="E131" i="1"/>
  <c r="D131" i="1"/>
  <c r="H130" i="1"/>
  <c r="H129" i="1"/>
  <c r="H128" i="1"/>
  <c r="H127" i="1"/>
  <c r="H126" i="1"/>
  <c r="H125" i="1"/>
  <c r="G127" i="1"/>
  <c r="F130" i="1"/>
  <c r="G130" i="1" s="1"/>
  <c r="F129" i="1"/>
  <c r="G129" i="1" s="1"/>
  <c r="G96" i="1"/>
  <c r="G97" i="1" s="1"/>
  <c r="G490" i="1"/>
  <c r="H490" i="1"/>
  <c r="J490" i="1"/>
  <c r="L468" i="1"/>
  <c r="I468" i="1"/>
  <c r="J468" i="1" s="1"/>
  <c r="E468" i="1"/>
  <c r="D468" i="1"/>
  <c r="C468" i="1"/>
  <c r="J467" i="1"/>
  <c r="H467" i="1"/>
  <c r="F467" i="1"/>
  <c r="F468" i="1" s="1"/>
  <c r="L411" i="1"/>
  <c r="I411" i="1"/>
  <c r="J411" i="1" s="1"/>
  <c r="E411" i="1"/>
  <c r="D411" i="1"/>
  <c r="C411" i="1"/>
  <c r="J410" i="1"/>
  <c r="H410" i="1"/>
  <c r="J409" i="1"/>
  <c r="H409" i="1"/>
  <c r="J408" i="1"/>
  <c r="H408" i="1"/>
  <c r="F411" i="1"/>
  <c r="L400" i="1"/>
  <c r="I400" i="1"/>
  <c r="J400" i="1" s="1"/>
  <c r="E400" i="1"/>
  <c r="D400" i="1"/>
  <c r="C400" i="1"/>
  <c r="J399" i="1"/>
  <c r="H399" i="1"/>
  <c r="J398" i="1"/>
  <c r="H398" i="1"/>
  <c r="J397" i="1"/>
  <c r="H397" i="1"/>
  <c r="F397" i="1"/>
  <c r="F400" i="1" s="1"/>
  <c r="L389" i="1"/>
  <c r="I389" i="1"/>
  <c r="J389" i="1" s="1"/>
  <c r="E389" i="1"/>
  <c r="D389" i="1"/>
  <c r="C389" i="1"/>
  <c r="J388" i="1"/>
  <c r="H388" i="1"/>
  <c r="J387" i="1"/>
  <c r="H387" i="1"/>
  <c r="J386" i="1"/>
  <c r="H386" i="1"/>
  <c r="F389" i="1"/>
  <c r="L325" i="1"/>
  <c r="J325" i="1"/>
  <c r="C325" i="1"/>
  <c r="H325" i="1" s="1"/>
  <c r="J321" i="1"/>
  <c r="H321" i="1"/>
  <c r="J320" i="1"/>
  <c r="H320" i="1"/>
  <c r="J319" i="1"/>
  <c r="H319" i="1"/>
  <c r="G319" i="1"/>
  <c r="L270" i="1"/>
  <c r="I270" i="1"/>
  <c r="J270" i="1" s="1"/>
  <c r="D270" i="1"/>
  <c r="C270" i="1"/>
  <c r="J269" i="1"/>
  <c r="H269" i="1"/>
  <c r="G269" i="1"/>
  <c r="J268" i="1"/>
  <c r="H268" i="1"/>
  <c r="E268" i="1"/>
  <c r="E270" i="1" s="1"/>
  <c r="J267" i="1"/>
  <c r="H267" i="1"/>
  <c r="G267" i="1"/>
  <c r="I253" i="1"/>
  <c r="J253" i="1" s="1"/>
  <c r="E253" i="1"/>
  <c r="D253" i="1"/>
  <c r="C253" i="1"/>
  <c r="L252" i="1"/>
  <c r="L253" i="1" s="1"/>
  <c r="J252" i="1"/>
  <c r="H252" i="1"/>
  <c r="F252" i="1"/>
  <c r="F253" i="1" s="1"/>
  <c r="H139" i="1"/>
  <c r="J139" i="1"/>
  <c r="F140" i="1"/>
  <c r="G140" i="1" s="1"/>
  <c r="H140" i="1"/>
  <c r="J140" i="1"/>
  <c r="F141" i="1"/>
  <c r="G141" i="1" s="1"/>
  <c r="H141" i="1"/>
  <c r="F323" i="1"/>
  <c r="F325" i="1" s="1"/>
  <c r="H323" i="1"/>
  <c r="F65" i="1"/>
  <c r="H65" i="1"/>
  <c r="J65" i="1"/>
  <c r="F66" i="1"/>
  <c r="G66" i="1" s="1"/>
  <c r="H66" i="1"/>
  <c r="J66" i="1"/>
  <c r="F67" i="1"/>
  <c r="G67" i="1" s="1"/>
  <c r="H67" i="1"/>
  <c r="J67" i="1"/>
  <c r="E68" i="1"/>
  <c r="H68" i="1"/>
  <c r="F69" i="1"/>
  <c r="G69" i="1" s="1"/>
  <c r="H69" i="1"/>
  <c r="F226" i="1"/>
  <c r="G226" i="1" s="1"/>
  <c r="F230" i="1"/>
  <c r="G230" i="1" s="1"/>
  <c r="L233" i="1"/>
  <c r="I233" i="1"/>
  <c r="J233" i="1" s="1"/>
  <c r="E233" i="1"/>
  <c r="D233" i="1"/>
  <c r="C233" i="1"/>
  <c r="H232" i="1"/>
  <c r="J231" i="1"/>
  <c r="H231" i="1"/>
  <c r="H230" i="1"/>
  <c r="H229" i="1"/>
  <c r="H228" i="1"/>
  <c r="H227" i="1"/>
  <c r="J226" i="1"/>
  <c r="H226" i="1"/>
  <c r="L88" i="1"/>
  <c r="I88" i="1"/>
  <c r="J88" i="1" s="1"/>
  <c r="E88" i="1"/>
  <c r="D88" i="1"/>
  <c r="C88" i="1"/>
  <c r="H87" i="1"/>
  <c r="H86" i="1"/>
  <c r="H85" i="1"/>
  <c r="H84" i="1"/>
  <c r="F84" i="1"/>
  <c r="G84" i="1" s="1"/>
  <c r="H83" i="1"/>
  <c r="F83" i="1"/>
  <c r="G83" i="1" s="1"/>
  <c r="H82" i="1"/>
  <c r="H81" i="1"/>
  <c r="H80" i="1"/>
  <c r="F80" i="1"/>
  <c r="G80" i="1" s="1"/>
  <c r="J79" i="1"/>
  <c r="H79" i="1"/>
  <c r="G79" i="1"/>
  <c r="G323" i="1" l="1"/>
  <c r="G325" i="1" s="1"/>
  <c r="G233" i="1"/>
  <c r="F71" i="1"/>
  <c r="G65" i="1"/>
  <c r="G68" i="1"/>
  <c r="E71" i="1"/>
  <c r="G389" i="1"/>
  <c r="G467" i="1"/>
  <c r="G468" i="1" s="1"/>
  <c r="G495" i="1"/>
  <c r="G131" i="1"/>
  <c r="G108" i="1"/>
  <c r="G408" i="1"/>
  <c r="G363" i="1"/>
  <c r="G88" i="1"/>
  <c r="G573" i="1"/>
  <c r="G397" i="1"/>
  <c r="G252" i="1"/>
  <c r="G253" i="1" s="1"/>
  <c r="H573" i="1"/>
  <c r="F573" i="1"/>
  <c r="F131" i="1"/>
  <c r="H468" i="1"/>
  <c r="H400" i="1"/>
  <c r="H389" i="1"/>
  <c r="H411" i="1"/>
  <c r="H270" i="1"/>
  <c r="H253" i="1"/>
  <c r="F268" i="1"/>
  <c r="G268" i="1" s="1"/>
  <c r="G270" i="1" s="1"/>
  <c r="F88" i="1"/>
  <c r="H233" i="1"/>
  <c r="F233" i="1"/>
  <c r="H88" i="1"/>
  <c r="G400" i="1" l="1"/>
  <c r="G411" i="1"/>
  <c r="G71" i="1"/>
  <c r="F270" i="1"/>
  <c r="L444" i="1" l="1"/>
  <c r="H442" i="1"/>
  <c r="H443" i="1"/>
  <c r="H444" i="1"/>
  <c r="G374" i="1"/>
  <c r="E363" i="1"/>
  <c r="F363" i="1"/>
  <c r="H362" i="1"/>
  <c r="H600" i="1"/>
  <c r="H513" i="1"/>
  <c r="H557" i="1"/>
  <c r="H558" i="1"/>
  <c r="D528" i="1"/>
  <c r="H527" i="1"/>
  <c r="H457" i="1"/>
  <c r="H458" i="1"/>
  <c r="E459" i="1"/>
  <c r="D459" i="1"/>
  <c r="H306" i="1"/>
  <c r="H307" i="1"/>
  <c r="H308" i="1"/>
  <c r="H309" i="1"/>
  <c r="H310" i="1"/>
  <c r="E311" i="1"/>
  <c r="D209" i="1"/>
  <c r="E209" i="1"/>
  <c r="H204" i="1"/>
  <c r="H205" i="1"/>
  <c r="H206" i="1"/>
  <c r="H207" i="1"/>
  <c r="H208" i="1"/>
  <c r="E183" i="1"/>
  <c r="D183" i="1"/>
  <c r="H143" i="1"/>
  <c r="H144" i="1"/>
  <c r="H145" i="1"/>
  <c r="H146" i="1"/>
  <c r="E147" i="1"/>
  <c r="D147" i="1"/>
  <c r="D15" i="1"/>
  <c r="H14" i="1"/>
  <c r="H12" i="1"/>
  <c r="H13" i="1"/>
  <c r="H24" i="1"/>
  <c r="H25" i="1"/>
  <c r="H26" i="1"/>
  <c r="H36" i="1"/>
  <c r="H37" i="1"/>
  <c r="H38" i="1"/>
  <c r="H39" i="1"/>
  <c r="E40" i="1"/>
  <c r="D40" i="1"/>
  <c r="D57" i="1"/>
  <c r="E57" i="1"/>
  <c r="F56" i="1"/>
  <c r="G56" i="1" s="1"/>
  <c r="G338" i="1"/>
  <c r="L443" i="1" l="1"/>
  <c r="L441" i="1"/>
  <c r="L440" i="1"/>
  <c r="L362" i="1"/>
  <c r="F662" i="1"/>
  <c r="F558" i="1"/>
  <c r="G558" i="1" s="1"/>
  <c r="G479" i="1"/>
  <c r="F310" i="1"/>
  <c r="G310" i="1" s="1"/>
  <c r="G309" i="1"/>
  <c r="F308" i="1"/>
  <c r="G308" i="1" s="1"/>
  <c r="G306" i="1"/>
  <c r="G662" i="1" l="1"/>
  <c r="G663" i="1" s="1"/>
  <c r="F663" i="1"/>
  <c r="L445" i="1"/>
  <c r="F208" i="1"/>
  <c r="G208" i="1" s="1"/>
  <c r="F207" i="1"/>
  <c r="G207" i="1" s="1"/>
  <c r="F206" i="1"/>
  <c r="G206" i="1" s="1"/>
  <c r="F204" i="1"/>
  <c r="G204" i="1" s="1"/>
  <c r="F182" i="1"/>
  <c r="G182" i="1" s="1"/>
  <c r="F181" i="1"/>
  <c r="G181" i="1" s="1"/>
  <c r="F180" i="1"/>
  <c r="G180" i="1" s="1"/>
  <c r="F178" i="1"/>
  <c r="G178" i="1" s="1"/>
  <c r="F177" i="1"/>
  <c r="G177" i="1" s="1"/>
  <c r="F146" i="1"/>
  <c r="G146" i="1" s="1"/>
  <c r="F145" i="1"/>
  <c r="G145" i="1" s="1"/>
  <c r="F143" i="1"/>
  <c r="G143" i="1" s="1"/>
  <c r="F14" i="1"/>
  <c r="G14" i="1" s="1"/>
  <c r="F13" i="1"/>
  <c r="G13" i="1" s="1"/>
  <c r="F25" i="1"/>
  <c r="G25" i="1" s="1"/>
  <c r="F38" i="1"/>
  <c r="G38" i="1" s="1"/>
  <c r="G39" i="1"/>
  <c r="F54" i="1"/>
  <c r="G54" i="1" s="1"/>
  <c r="F53" i="1"/>
  <c r="G53" i="1" s="1"/>
  <c r="G147" i="1" l="1"/>
  <c r="H53" i="1"/>
  <c r="J53" i="1"/>
  <c r="H54" i="1"/>
  <c r="J54" i="1"/>
  <c r="H55" i="1"/>
  <c r="J55" i="1"/>
  <c r="H56" i="1"/>
  <c r="J56" i="1"/>
  <c r="F372" i="1" l="1"/>
  <c r="F334" i="1"/>
  <c r="G524" i="1"/>
  <c r="G525" i="1"/>
  <c r="G554" i="1"/>
  <c r="G514" i="1"/>
  <c r="F513" i="1"/>
  <c r="G513" i="1" s="1"/>
  <c r="F602" i="1"/>
  <c r="G602" i="1" s="1"/>
  <c r="F600" i="1"/>
  <c r="G600" i="1" s="1"/>
  <c r="F612" i="1"/>
  <c r="G612" i="1" s="1"/>
  <c r="F614" i="1"/>
  <c r="G614" i="1" s="1"/>
  <c r="F624" i="1"/>
  <c r="G624" i="1" s="1"/>
  <c r="F626" i="1"/>
  <c r="G626" i="1" s="1"/>
  <c r="F636" i="1"/>
  <c r="G636" i="1" s="1"/>
  <c r="F638" i="1"/>
  <c r="G638" i="1" s="1"/>
  <c r="F648" i="1"/>
  <c r="G648" i="1" s="1"/>
  <c r="F454" i="1"/>
  <c r="G454" i="1" s="1"/>
  <c r="E353" i="1"/>
  <c r="G287" i="1"/>
  <c r="F175" i="1"/>
  <c r="G175" i="1" s="1"/>
  <c r="F202" i="1"/>
  <c r="G202" i="1" s="1"/>
  <c r="G174" i="1"/>
  <c r="F147" i="1"/>
  <c r="F9" i="1"/>
  <c r="E12" i="1"/>
  <c r="F24" i="1"/>
  <c r="G24" i="1" s="1"/>
  <c r="F23" i="1"/>
  <c r="G23" i="1" s="1"/>
  <c r="F35" i="1"/>
  <c r="G35" i="1" s="1"/>
  <c r="G12" i="1" l="1"/>
  <c r="E15" i="1"/>
  <c r="G27" i="1"/>
  <c r="G372" i="1"/>
  <c r="F378" i="1"/>
  <c r="G334" i="1"/>
  <c r="G9" i="1"/>
  <c r="F48" i="1" l="1"/>
  <c r="G48" i="1" s="1"/>
  <c r="F10" i="1" l="1"/>
  <c r="G10" i="1" s="1"/>
  <c r="G15" i="1" s="1"/>
  <c r="F15" i="1" l="1"/>
  <c r="F431" i="1"/>
  <c r="G431" i="1" s="1"/>
  <c r="G432" i="1" s="1"/>
  <c r="F164" i="1"/>
  <c r="G164" i="1" s="1"/>
  <c r="G165" i="1" s="1"/>
  <c r="E165" i="1"/>
  <c r="F117" i="1"/>
  <c r="E117" i="1"/>
  <c r="E108" i="1"/>
  <c r="G647" i="1"/>
  <c r="E651" i="1"/>
  <c r="H636" i="1"/>
  <c r="G635" i="1"/>
  <c r="E639" i="1"/>
  <c r="H624" i="1"/>
  <c r="G623" i="1"/>
  <c r="E627" i="1"/>
  <c r="E615" i="1"/>
  <c r="F613" i="1"/>
  <c r="G613" i="1" s="1"/>
  <c r="H612" i="1"/>
  <c r="G611" i="1"/>
  <c r="E603" i="1"/>
  <c r="F601" i="1"/>
  <c r="G601" i="1" s="1"/>
  <c r="G599" i="1"/>
  <c r="E515" i="1"/>
  <c r="G512" i="1"/>
  <c r="F556" i="1"/>
  <c r="G553" i="1"/>
  <c r="F591" i="1"/>
  <c r="E591" i="1"/>
  <c r="F581" i="1"/>
  <c r="G581" i="1" s="1"/>
  <c r="G582" i="1" s="1"/>
  <c r="E582" i="1"/>
  <c r="G526" i="1"/>
  <c r="G523" i="1"/>
  <c r="G242" i="1"/>
  <c r="F191" i="1"/>
  <c r="G191" i="1" s="1"/>
  <c r="G192" i="1" s="1"/>
  <c r="F155" i="1"/>
  <c r="G155" i="1" s="1"/>
  <c r="G156" i="1" s="1"/>
  <c r="F217" i="1"/>
  <c r="G217" i="1" s="1"/>
  <c r="G218" i="1" s="1"/>
  <c r="F503" i="1"/>
  <c r="G503" i="1" s="1"/>
  <c r="G504" i="1" s="1"/>
  <c r="E504" i="1"/>
  <c r="E495" i="1"/>
  <c r="G478" i="1"/>
  <c r="F476" i="1"/>
  <c r="G476" i="1" s="1"/>
  <c r="E481" i="1"/>
  <c r="G456" i="1"/>
  <c r="G453" i="1"/>
  <c r="G243" i="1"/>
  <c r="G241" i="1"/>
  <c r="E244" i="1"/>
  <c r="F442" i="1"/>
  <c r="G442" i="1" s="1"/>
  <c r="G445" i="1" s="1"/>
  <c r="F422" i="1"/>
  <c r="G422" i="1" s="1"/>
  <c r="F421" i="1"/>
  <c r="G420" i="1"/>
  <c r="G419" i="1"/>
  <c r="E423" i="1"/>
  <c r="G337" i="1"/>
  <c r="G336" i="1"/>
  <c r="G305" i="1"/>
  <c r="G303" i="1"/>
  <c r="G302" i="1"/>
  <c r="G301" i="1"/>
  <c r="G300" i="1"/>
  <c r="G299" i="1"/>
  <c r="G298" i="1"/>
  <c r="G297" i="1"/>
  <c r="G296" i="1"/>
  <c r="G295" i="1"/>
  <c r="G371" i="1"/>
  <c r="G556" i="1" l="1"/>
  <c r="G559" i="1" s="1"/>
  <c r="F559" i="1"/>
  <c r="G421" i="1"/>
  <c r="G423" i="1" s="1"/>
  <c r="F423" i="1"/>
  <c r="G481" i="1"/>
  <c r="G378" i="1"/>
  <c r="G639" i="1"/>
  <c r="G651" i="1"/>
  <c r="G627" i="1"/>
  <c r="G515" i="1"/>
  <c r="G335" i="1"/>
  <c r="G353" i="1" s="1"/>
  <c r="F353" i="1"/>
  <c r="G459" i="1"/>
  <c r="G615" i="1"/>
  <c r="G528" i="1"/>
  <c r="G311" i="1"/>
  <c r="G244" i="1"/>
  <c r="G603" i="1"/>
  <c r="F432" i="1"/>
  <c r="F528" i="1"/>
  <c r="F445" i="1"/>
  <c r="F481" i="1"/>
  <c r="F459" i="1"/>
  <c r="F311" i="1"/>
  <c r="F108" i="1"/>
  <c r="F504" i="1"/>
  <c r="F165" i="1"/>
  <c r="F495" i="1"/>
  <c r="F651" i="1"/>
  <c r="F582" i="1"/>
  <c r="F639" i="1"/>
  <c r="F627" i="1"/>
  <c r="F603" i="1"/>
  <c r="F615" i="1"/>
  <c r="F515" i="1"/>
  <c r="F244" i="1"/>
  <c r="F97" i="1"/>
  <c r="E97" i="1"/>
  <c r="F192" i="1"/>
  <c r="E192" i="1"/>
  <c r="F218" i="1"/>
  <c r="E218" i="1"/>
  <c r="F156" i="1"/>
  <c r="E156" i="1"/>
  <c r="F201" i="1"/>
  <c r="G201" i="1" s="1"/>
  <c r="G209" i="1" s="1"/>
  <c r="G183" i="1"/>
  <c r="F183" i="1" l="1"/>
  <c r="F209" i="1"/>
  <c r="E27" i="1" l="1"/>
  <c r="E666" i="1" l="1"/>
  <c r="E665" i="1" s="1"/>
  <c r="F27" i="1"/>
  <c r="F36" i="1"/>
  <c r="G36" i="1" s="1"/>
  <c r="G40" i="1" s="1"/>
  <c r="F40" i="1" l="1"/>
  <c r="F49" i="1"/>
  <c r="F57" i="1" l="1"/>
  <c r="G49" i="1"/>
  <c r="G57" i="1" s="1"/>
  <c r="G666" i="1" s="1"/>
  <c r="M667" i="1" l="1"/>
  <c r="F666" i="1"/>
  <c r="O311" i="1"/>
  <c r="D363" i="1"/>
  <c r="H422" i="1" l="1"/>
  <c r="I363" i="1"/>
  <c r="J363" i="1" s="1"/>
  <c r="C363" i="1"/>
  <c r="L361" i="1"/>
  <c r="L363" i="1" s="1"/>
  <c r="J361" i="1"/>
  <c r="H361" i="1"/>
  <c r="I165" i="1"/>
  <c r="J165" i="1" s="1"/>
  <c r="D165" i="1"/>
  <c r="C165" i="1"/>
  <c r="L164" i="1"/>
  <c r="L165" i="1" s="1"/>
  <c r="J164" i="1"/>
  <c r="H164" i="1"/>
  <c r="L116" i="1"/>
  <c r="H363" i="1" l="1"/>
  <c r="H165" i="1"/>
  <c r="L117" i="1" l="1"/>
  <c r="I117" i="1"/>
  <c r="J117" i="1" s="1"/>
  <c r="D117" i="1"/>
  <c r="C117" i="1"/>
  <c r="J116" i="1"/>
  <c r="H116" i="1"/>
  <c r="D244" i="1" l="1"/>
  <c r="H117" i="1"/>
  <c r="L217" i="1" l="1"/>
  <c r="L155" i="1"/>
  <c r="L431" i="1"/>
  <c r="J556" i="1" l="1"/>
  <c r="H556" i="1"/>
  <c r="H288" i="1" l="1"/>
  <c r="H289" i="1"/>
  <c r="H290" i="1"/>
  <c r="H293" i="1"/>
  <c r="H294" i="1"/>
  <c r="H295" i="1" l="1"/>
  <c r="H296" i="1"/>
  <c r="H297" i="1"/>
  <c r="H298" i="1"/>
  <c r="H299" i="1"/>
  <c r="H300" i="1"/>
  <c r="H301" i="1"/>
  <c r="H302" i="1"/>
  <c r="H304" i="1"/>
  <c r="C663" i="1"/>
  <c r="J661" i="1"/>
  <c r="H661" i="1"/>
  <c r="J660" i="1"/>
  <c r="H660" i="1"/>
  <c r="J659" i="1"/>
  <c r="H659" i="1"/>
  <c r="H335" i="1"/>
  <c r="H292" i="1"/>
  <c r="H291" i="1"/>
  <c r="J663" i="1" l="1"/>
  <c r="H663" i="1" l="1"/>
  <c r="H431" i="1"/>
  <c r="H106" i="1"/>
  <c r="H107" i="1"/>
  <c r="H105" i="1"/>
  <c r="H649" i="1"/>
  <c r="H650" i="1"/>
  <c r="H647" i="1"/>
  <c r="H637" i="1"/>
  <c r="H638" i="1"/>
  <c r="H635" i="1"/>
  <c r="H625" i="1"/>
  <c r="H626" i="1"/>
  <c r="H623" i="1"/>
  <c r="H613" i="1"/>
  <c r="H614" i="1"/>
  <c r="H611" i="1"/>
  <c r="H601" i="1"/>
  <c r="H602" i="1"/>
  <c r="H599" i="1"/>
  <c r="H514" i="1"/>
  <c r="H512" i="1"/>
  <c r="H553" i="1"/>
  <c r="H555" i="1"/>
  <c r="H551" i="1"/>
  <c r="H590" i="1"/>
  <c r="H581" i="1"/>
  <c r="H524" i="1"/>
  <c r="H525" i="1"/>
  <c r="H526" i="1"/>
  <c r="H523" i="1"/>
  <c r="H503" i="1"/>
  <c r="H491" i="1"/>
  <c r="H492" i="1"/>
  <c r="H476" i="1"/>
  <c r="H454" i="1"/>
  <c r="H455" i="1"/>
  <c r="H456" i="1"/>
  <c r="H453" i="1"/>
  <c r="H242" i="1"/>
  <c r="H243" i="1"/>
  <c r="H241" i="1"/>
  <c r="H441" i="1"/>
  <c r="H440" i="1"/>
  <c r="H420" i="1"/>
  <c r="H421" i="1"/>
  <c r="H419" i="1"/>
  <c r="H334" i="1"/>
  <c r="H336" i="1"/>
  <c r="H337" i="1"/>
  <c r="H338" i="1"/>
  <c r="H333" i="1"/>
  <c r="H372" i="1"/>
  <c r="H373" i="1"/>
  <c r="H374" i="1"/>
  <c r="H375" i="1"/>
  <c r="H371" i="1"/>
  <c r="H287" i="1"/>
  <c r="H305" i="1"/>
  <c r="H286" i="1"/>
  <c r="H278" i="1"/>
  <c r="H96" i="1"/>
  <c r="H191" i="1"/>
  <c r="H259" i="1"/>
  <c r="H155" i="1"/>
  <c r="H217" i="1"/>
  <c r="H201" i="1"/>
  <c r="H203" i="1"/>
  <c r="H200" i="1"/>
  <c r="H173" i="1"/>
  <c r="H10" i="1"/>
  <c r="H11" i="1"/>
  <c r="H9" i="1"/>
  <c r="H23" i="1"/>
  <c r="H35" i="1"/>
  <c r="H49" i="1"/>
  <c r="H51" i="1"/>
  <c r="H52" i="1"/>
  <c r="H48" i="1"/>
  <c r="D27" i="1"/>
  <c r="D218" i="1"/>
  <c r="D156" i="1"/>
  <c r="D260" i="1"/>
  <c r="D192" i="1"/>
  <c r="D97" i="1"/>
  <c r="D279" i="1"/>
  <c r="D423" i="1"/>
  <c r="D481" i="1"/>
  <c r="D495" i="1"/>
  <c r="D504" i="1"/>
  <c r="D582" i="1"/>
  <c r="D591" i="1"/>
  <c r="D515" i="1"/>
  <c r="D603" i="1"/>
  <c r="D615" i="1"/>
  <c r="D627" i="1"/>
  <c r="D639" i="1"/>
  <c r="D651" i="1"/>
  <c r="D108" i="1"/>
  <c r="D432" i="1"/>
  <c r="D666" i="1" l="1"/>
  <c r="C528" i="1"/>
  <c r="C559" i="1"/>
  <c r="J555" i="1"/>
  <c r="H528" i="1" l="1"/>
  <c r="C311" i="1" l="1"/>
  <c r="H311" i="1" l="1"/>
  <c r="C459" i="1"/>
  <c r="H459" i="1" l="1"/>
  <c r="C481" i="1"/>
  <c r="C378" i="1"/>
  <c r="C183" i="1"/>
  <c r="C15" i="1"/>
  <c r="H15" i="1" s="1"/>
  <c r="H481" i="1" l="1"/>
  <c r="H183" i="1"/>
  <c r="H378" i="1"/>
  <c r="L432" i="1" l="1"/>
  <c r="I432" i="1"/>
  <c r="C432" i="1"/>
  <c r="L651" i="1"/>
  <c r="I651" i="1"/>
  <c r="C651" i="1"/>
  <c r="L639" i="1"/>
  <c r="I639" i="1"/>
  <c r="C639" i="1"/>
  <c r="L615" i="1"/>
  <c r="I615" i="1"/>
  <c r="C615" i="1"/>
  <c r="L627" i="1"/>
  <c r="I627" i="1"/>
  <c r="C627" i="1"/>
  <c r="L108" i="1"/>
  <c r="I108" i="1"/>
  <c r="C108" i="1"/>
  <c r="J107" i="1"/>
  <c r="L603" i="1"/>
  <c r="I603" i="1"/>
  <c r="C603" i="1"/>
  <c r="L515" i="1"/>
  <c r="I515" i="1"/>
  <c r="C515" i="1"/>
  <c r="L591" i="1"/>
  <c r="I591" i="1"/>
  <c r="C591" i="1"/>
  <c r="L559" i="1"/>
  <c r="I559" i="1"/>
  <c r="L582" i="1"/>
  <c r="I582" i="1"/>
  <c r="C582" i="1"/>
  <c r="L528" i="1"/>
  <c r="L504" i="1"/>
  <c r="I504" i="1"/>
  <c r="C504" i="1"/>
  <c r="L495" i="1"/>
  <c r="I495" i="1"/>
  <c r="C495" i="1"/>
  <c r="J494" i="1"/>
  <c r="L481" i="1"/>
  <c r="I481" i="1"/>
  <c r="L459" i="1"/>
  <c r="I459" i="1"/>
  <c r="L244" i="1"/>
  <c r="I244" i="1"/>
  <c r="C244" i="1"/>
  <c r="C423" i="1"/>
  <c r="I423" i="1"/>
  <c r="I445" i="1"/>
  <c r="C445" i="1"/>
  <c r="L423" i="1"/>
  <c r="L353" i="1"/>
  <c r="I353" i="1"/>
  <c r="C353" i="1"/>
  <c r="J338" i="1"/>
  <c r="L378" i="1"/>
  <c r="L279" i="1"/>
  <c r="I279" i="1"/>
  <c r="C279" i="1"/>
  <c r="L97" i="1"/>
  <c r="I97" i="1"/>
  <c r="C97" i="1"/>
  <c r="L192" i="1"/>
  <c r="I192" i="1"/>
  <c r="C192" i="1"/>
  <c r="L260" i="1"/>
  <c r="I260" i="1"/>
  <c r="C260" i="1"/>
  <c r="L156" i="1"/>
  <c r="I156" i="1"/>
  <c r="C156" i="1"/>
  <c r="L218" i="1"/>
  <c r="I218" i="1"/>
  <c r="C218" i="1"/>
  <c r="L311" i="1"/>
  <c r="I311" i="1"/>
  <c r="C131" i="1"/>
  <c r="L209" i="1"/>
  <c r="C209" i="1"/>
  <c r="J203" i="1"/>
  <c r="J200" i="1"/>
  <c r="L40" i="1"/>
  <c r="L71" i="1"/>
  <c r="L27" i="1"/>
  <c r="L15" i="1"/>
  <c r="L183" i="1"/>
  <c r="L147" i="1"/>
  <c r="C147" i="1"/>
  <c r="J10" i="1"/>
  <c r="I27" i="1"/>
  <c r="C27" i="1"/>
  <c r="J24" i="1"/>
  <c r="C71" i="1"/>
  <c r="C40" i="1"/>
  <c r="H40" i="1" s="1"/>
  <c r="J36" i="1"/>
  <c r="L666" i="1" l="1"/>
  <c r="M668" i="1" s="1"/>
  <c r="H432" i="1"/>
  <c r="H108" i="1"/>
  <c r="H156" i="1"/>
  <c r="H279" i="1"/>
  <c r="H504" i="1"/>
  <c r="H515" i="1"/>
  <c r="H260" i="1"/>
  <c r="H445" i="1"/>
  <c r="H131" i="1"/>
  <c r="H603" i="1"/>
  <c r="H615" i="1"/>
  <c r="H71" i="1"/>
  <c r="H192" i="1"/>
  <c r="H582" i="1"/>
  <c r="H639" i="1"/>
  <c r="H627" i="1"/>
  <c r="H147" i="1"/>
  <c r="H244" i="1"/>
  <c r="H218" i="1"/>
  <c r="H97" i="1"/>
  <c r="H495" i="1"/>
  <c r="H27" i="1"/>
  <c r="H209" i="1"/>
  <c r="H353" i="1"/>
  <c r="H591" i="1"/>
  <c r="H651" i="1"/>
  <c r="H423" i="1"/>
  <c r="J176" i="1"/>
  <c r="J38" i="1"/>
  <c r="J106" i="1"/>
  <c r="J491" i="1"/>
  <c r="J526" i="1"/>
  <c r="J217" i="1"/>
  <c r="J259" i="1"/>
  <c r="J442" i="1"/>
  <c r="J492" i="1"/>
  <c r="J503" i="1"/>
  <c r="J431" i="1"/>
  <c r="J334" i="1"/>
  <c r="J581" i="1"/>
  <c r="J155" i="1"/>
  <c r="J337" i="1"/>
  <c r="J590" i="1"/>
  <c r="J455" i="1"/>
  <c r="J525" i="1"/>
  <c r="J478" i="1"/>
  <c r="J477" i="1"/>
  <c r="J242" i="1"/>
  <c r="J333" i="1"/>
  <c r="J551" i="1"/>
  <c r="J611" i="1"/>
  <c r="J241" i="1"/>
  <c r="J599" i="1"/>
  <c r="J647" i="1"/>
  <c r="J523" i="1"/>
  <c r="J512" i="1"/>
  <c r="J623" i="1"/>
  <c r="J635" i="1"/>
  <c r="J243" i="1"/>
  <c r="J650" i="1"/>
  <c r="J649" i="1"/>
  <c r="J626" i="1"/>
  <c r="J614" i="1"/>
  <c r="J453" i="1"/>
  <c r="J35" i="1"/>
  <c r="J286" i="1"/>
  <c r="J371" i="1"/>
  <c r="J639" i="1"/>
  <c r="J613" i="1"/>
  <c r="J625" i="1"/>
  <c r="J105" i="1"/>
  <c r="J553" i="1"/>
  <c r="J554" i="1"/>
  <c r="J524" i="1"/>
  <c r="J493" i="1"/>
  <c r="J476" i="1"/>
  <c r="J454" i="1"/>
  <c r="J441" i="1"/>
  <c r="J421" i="1"/>
  <c r="J420" i="1"/>
  <c r="J440" i="1"/>
  <c r="J419" i="1"/>
  <c r="J191" i="1"/>
  <c r="J278" i="1"/>
  <c r="J96" i="1"/>
  <c r="J287" i="1"/>
  <c r="J201" i="1"/>
  <c r="J173" i="1"/>
  <c r="J9" i="1"/>
  <c r="J11" i="1"/>
  <c r="J25" i="1"/>
  <c r="J23" i="1"/>
  <c r="J209" i="1" l="1"/>
  <c r="J279" i="1"/>
  <c r="J432" i="1"/>
  <c r="J615" i="1"/>
  <c r="J627" i="1"/>
  <c r="J651" i="1"/>
  <c r="J108" i="1"/>
  <c r="J603" i="1"/>
  <c r="J591" i="1"/>
  <c r="J515" i="1"/>
  <c r="J559" i="1"/>
  <c r="J582" i="1"/>
  <c r="J528" i="1"/>
  <c r="J504" i="1"/>
  <c r="J495" i="1"/>
  <c r="J481" i="1"/>
  <c r="J459" i="1"/>
  <c r="J244" i="1"/>
  <c r="J423" i="1"/>
  <c r="J445" i="1"/>
  <c r="J353" i="1"/>
  <c r="J378" i="1"/>
  <c r="J97" i="1"/>
  <c r="J192" i="1"/>
  <c r="J260" i="1"/>
  <c r="J156" i="1"/>
  <c r="J218" i="1"/>
  <c r="J311" i="1"/>
  <c r="J131" i="1"/>
  <c r="J183" i="1"/>
  <c r="J147" i="1"/>
  <c r="J27" i="1"/>
  <c r="J40" i="1"/>
  <c r="J71" i="1"/>
  <c r="C57" i="1" l="1"/>
  <c r="C666" i="1" s="1"/>
  <c r="J49" i="1"/>
  <c r="H57" i="1" l="1"/>
  <c r="J51" i="1"/>
  <c r="J48" i="1"/>
  <c r="J52" i="1"/>
  <c r="J57" i="1" l="1"/>
  <c r="H554" i="1" l="1"/>
  <c r="H55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Tania Mara Chaves Daldegan</author>
    <author>Livian Fernandes Hott</author>
  </authors>
  <commentList>
    <comment ref="E8" authorId="0" shapeId="0" xr:uid="{B69C2566-A9D1-4C77-829B-B8F7EB05A115}">
      <text>
        <r>
          <rPr>
            <b/>
            <sz val="18"/>
            <color indexed="81"/>
            <rFont val="Segoe UI"/>
            <family val="2"/>
          </rPr>
          <t xml:space="preserve">Valores conforme a execução orçamentária do SISCONT.NET. </t>
        </r>
        <r>
          <rPr>
            <sz val="18"/>
            <color indexed="81"/>
            <rFont val="Segoe UI"/>
            <family val="2"/>
          </rPr>
          <t xml:space="preserve">
</t>
        </r>
      </text>
    </comment>
    <comment ref="E22" authorId="0" shapeId="0" xr:uid="{97F81584-EE34-4DC4-9DB3-57697CB4E607}">
      <text>
        <r>
          <rPr>
            <b/>
            <sz val="18"/>
            <color indexed="81"/>
            <rFont val="Segoe UI"/>
            <family val="2"/>
          </rPr>
          <t xml:space="preserve">Valores conforme a execução orçamentária do SISCONT.NET. </t>
        </r>
        <r>
          <rPr>
            <sz val="18"/>
            <color indexed="81"/>
            <rFont val="Segoe UI"/>
            <family val="2"/>
          </rPr>
          <t xml:space="preserve">
</t>
        </r>
      </text>
    </comment>
    <comment ref="E34" authorId="0" shapeId="0" xr:uid="{041C00DE-CE68-46BB-9142-AA70BA5EC4F3}">
      <text>
        <r>
          <rPr>
            <b/>
            <sz val="18"/>
            <color indexed="81"/>
            <rFont val="Segoe UI"/>
            <family val="2"/>
          </rPr>
          <t xml:space="preserve">Valores conforme a execução orçamentária do SISCONT.NET. </t>
        </r>
        <r>
          <rPr>
            <sz val="18"/>
            <color indexed="81"/>
            <rFont val="Segoe UI"/>
            <family val="2"/>
          </rPr>
          <t xml:space="preserve">
</t>
        </r>
      </text>
    </comment>
    <comment ref="E47" authorId="0" shapeId="0" xr:uid="{A5517B34-3C13-4B64-A6AE-BC5A038E7979}">
      <text>
        <r>
          <rPr>
            <b/>
            <sz val="18"/>
            <color indexed="81"/>
            <rFont val="Segoe UI"/>
            <family val="2"/>
          </rPr>
          <t xml:space="preserve">Valores conforme a execução orçamentária do SISCONT.NET. </t>
        </r>
        <r>
          <rPr>
            <sz val="18"/>
            <color indexed="81"/>
            <rFont val="Segoe UI"/>
            <family val="2"/>
          </rPr>
          <t xml:space="preserve">
</t>
        </r>
      </text>
    </comment>
    <comment ref="E64" authorId="0" shapeId="0" xr:uid="{ADAA6A1B-56B6-4240-9BF4-E08018B9AB3C}">
      <text>
        <r>
          <rPr>
            <b/>
            <sz val="18"/>
            <color indexed="81"/>
            <rFont val="Segoe UI"/>
            <family val="2"/>
          </rPr>
          <t xml:space="preserve">Valores conforme a execução orçamentária do SISCONT.NET. </t>
        </r>
        <r>
          <rPr>
            <sz val="18"/>
            <color indexed="81"/>
            <rFont val="Segoe UI"/>
            <family val="2"/>
          </rPr>
          <t xml:space="preserve">
</t>
        </r>
      </text>
    </comment>
    <comment ref="E78" authorId="0" shapeId="0" xr:uid="{5E2F8099-261D-436B-935A-28CD854118D9}">
      <text>
        <r>
          <rPr>
            <b/>
            <sz val="18"/>
            <color indexed="81"/>
            <rFont val="Segoe UI"/>
            <family val="2"/>
          </rPr>
          <t xml:space="preserve">Valores conforme a execução orçamentária do SISCONT.NET. </t>
        </r>
        <r>
          <rPr>
            <sz val="18"/>
            <color indexed="81"/>
            <rFont val="Segoe UI"/>
            <family val="2"/>
          </rPr>
          <t xml:space="preserve">
</t>
        </r>
      </text>
    </comment>
    <comment ref="E95" authorId="0" shapeId="0" xr:uid="{191E786B-5599-404D-AF38-1E4E79A62A5E}">
      <text>
        <r>
          <rPr>
            <b/>
            <sz val="18"/>
            <color indexed="81"/>
            <rFont val="Segoe UI"/>
            <family val="2"/>
          </rPr>
          <t xml:space="preserve">Valores conforme a execução orçamentária do SISCONT.NET. </t>
        </r>
        <r>
          <rPr>
            <sz val="18"/>
            <color indexed="81"/>
            <rFont val="Segoe UI"/>
            <family val="2"/>
          </rPr>
          <t xml:space="preserve">
</t>
        </r>
      </text>
    </comment>
    <comment ref="E104" authorId="0" shapeId="0" xr:uid="{7F0E06E5-F738-4D55-B964-0C8B32DE326F}">
      <text>
        <r>
          <rPr>
            <b/>
            <sz val="18"/>
            <color indexed="81"/>
            <rFont val="Segoe UI"/>
            <family val="2"/>
          </rPr>
          <t xml:space="preserve">Valores conforme a execução orçamentária do SISCONT.NET. </t>
        </r>
        <r>
          <rPr>
            <sz val="18"/>
            <color indexed="81"/>
            <rFont val="Segoe UI"/>
            <family val="2"/>
          </rPr>
          <t xml:space="preserve">
</t>
        </r>
      </text>
    </comment>
    <comment ref="E115" authorId="0" shapeId="0" xr:uid="{DB2C67AA-1EF8-4E91-8116-84C64AEBCDFA}">
      <text>
        <r>
          <rPr>
            <b/>
            <sz val="18"/>
            <color indexed="81"/>
            <rFont val="Segoe UI"/>
            <family val="2"/>
          </rPr>
          <t xml:space="preserve">Valores conforme a execução orçamentária do SISCONT.NET. </t>
        </r>
        <r>
          <rPr>
            <sz val="18"/>
            <color indexed="81"/>
            <rFont val="Segoe UI"/>
            <family val="2"/>
          </rPr>
          <t xml:space="preserve">
</t>
        </r>
      </text>
    </comment>
    <comment ref="E124" authorId="0" shapeId="0" xr:uid="{D9D35940-ED08-4997-9286-A9E4B55F9B69}">
      <text>
        <r>
          <rPr>
            <b/>
            <sz val="18"/>
            <color indexed="81"/>
            <rFont val="Segoe UI"/>
            <family val="2"/>
          </rPr>
          <t xml:space="preserve">Valores conforme a execução orçamentária do SISCONT.NET. </t>
        </r>
        <r>
          <rPr>
            <sz val="18"/>
            <color indexed="81"/>
            <rFont val="Segoe UI"/>
            <family val="2"/>
          </rPr>
          <t xml:space="preserve">
</t>
        </r>
      </text>
    </comment>
    <comment ref="E138" authorId="0" shapeId="0" xr:uid="{4C37BD94-35B8-4488-AF97-557F6AFC297E}">
      <text>
        <r>
          <rPr>
            <b/>
            <sz val="18"/>
            <color indexed="81"/>
            <rFont val="Segoe UI"/>
            <family val="2"/>
          </rPr>
          <t xml:space="preserve">Valores conforme a execução orçamentária do SISCONT.NET. </t>
        </r>
        <r>
          <rPr>
            <sz val="18"/>
            <color indexed="81"/>
            <rFont val="Segoe UI"/>
            <family val="2"/>
          </rPr>
          <t xml:space="preserve">
</t>
        </r>
      </text>
    </comment>
    <comment ref="E154" authorId="0" shapeId="0" xr:uid="{E99EFF1C-1A08-4CFF-86FF-9918D46E27B0}">
      <text>
        <r>
          <rPr>
            <b/>
            <sz val="18"/>
            <color indexed="81"/>
            <rFont val="Segoe UI"/>
            <family val="2"/>
          </rPr>
          <t xml:space="preserve">Valores conforme a execução orçamentária do SISCONT.NET. </t>
        </r>
        <r>
          <rPr>
            <sz val="18"/>
            <color indexed="81"/>
            <rFont val="Segoe UI"/>
            <family val="2"/>
          </rPr>
          <t xml:space="preserve">
</t>
        </r>
      </text>
    </comment>
    <comment ref="E163" authorId="0" shapeId="0" xr:uid="{F354E340-E9F1-4C9B-8EFD-7D8057E55587}">
      <text>
        <r>
          <rPr>
            <b/>
            <sz val="18"/>
            <color indexed="81"/>
            <rFont val="Segoe UI"/>
            <family val="2"/>
          </rPr>
          <t xml:space="preserve">Valores conforme a execução orçamentária do SISCONT.NET. </t>
        </r>
        <r>
          <rPr>
            <sz val="18"/>
            <color indexed="81"/>
            <rFont val="Segoe UI"/>
            <family val="2"/>
          </rPr>
          <t xml:space="preserve">
</t>
        </r>
      </text>
    </comment>
    <comment ref="E172" authorId="0" shapeId="0" xr:uid="{D43594B8-C8A1-4374-B2D2-70AB1D5710D4}">
      <text>
        <r>
          <rPr>
            <b/>
            <sz val="18"/>
            <color indexed="81"/>
            <rFont val="Segoe UI"/>
            <family val="2"/>
          </rPr>
          <t xml:space="preserve">Valores conforme a execução orçamentária do SISCONT.NET. </t>
        </r>
        <r>
          <rPr>
            <sz val="18"/>
            <color indexed="81"/>
            <rFont val="Segoe UI"/>
            <family val="2"/>
          </rPr>
          <t xml:space="preserve">
</t>
        </r>
      </text>
    </comment>
    <comment ref="E190" authorId="0" shapeId="0" xr:uid="{9AF6A1B4-5911-4EAD-8626-DDD514FB977F}">
      <text>
        <r>
          <rPr>
            <b/>
            <sz val="18"/>
            <color indexed="81"/>
            <rFont val="Segoe UI"/>
            <family val="2"/>
          </rPr>
          <t xml:space="preserve">Valores conforme a execução orçamentária do SISCONT.NET. </t>
        </r>
        <r>
          <rPr>
            <sz val="18"/>
            <color indexed="81"/>
            <rFont val="Segoe UI"/>
            <family val="2"/>
          </rPr>
          <t xml:space="preserve">
</t>
        </r>
      </text>
    </comment>
    <comment ref="E199" authorId="0" shapeId="0" xr:uid="{19D939EE-A2AE-4FF1-A407-C8E57EF71C6B}">
      <text>
        <r>
          <rPr>
            <b/>
            <sz val="18"/>
            <color indexed="81"/>
            <rFont val="Segoe UI"/>
            <family val="2"/>
          </rPr>
          <t xml:space="preserve">Valores conforme a execução orçamentária do SISCONT.NET. </t>
        </r>
        <r>
          <rPr>
            <sz val="18"/>
            <color indexed="81"/>
            <rFont val="Segoe UI"/>
            <family val="2"/>
          </rPr>
          <t xml:space="preserve">
</t>
        </r>
      </text>
    </comment>
    <comment ref="E216" authorId="0" shapeId="0" xr:uid="{46B67B2E-4199-44B6-AAB4-A059DAE89BBB}">
      <text>
        <r>
          <rPr>
            <b/>
            <sz val="18"/>
            <color indexed="81"/>
            <rFont val="Segoe UI"/>
            <family val="2"/>
          </rPr>
          <t xml:space="preserve">Valores conforme a execução orçamentária do SISCONT.NET. </t>
        </r>
        <r>
          <rPr>
            <sz val="18"/>
            <color indexed="81"/>
            <rFont val="Segoe UI"/>
            <family val="2"/>
          </rPr>
          <t xml:space="preserve">
</t>
        </r>
      </text>
    </comment>
    <comment ref="E225" authorId="0" shapeId="0" xr:uid="{748C59D1-DDF4-45FB-83FE-AFFF1B085709}">
      <text>
        <r>
          <rPr>
            <b/>
            <sz val="18"/>
            <color indexed="81"/>
            <rFont val="Segoe UI"/>
            <family val="2"/>
          </rPr>
          <t xml:space="preserve">Valores conforme a execução orçamentária do SISCONT.NET. </t>
        </r>
        <r>
          <rPr>
            <sz val="18"/>
            <color indexed="81"/>
            <rFont val="Segoe UI"/>
            <family val="2"/>
          </rPr>
          <t xml:space="preserve">
</t>
        </r>
      </text>
    </comment>
    <comment ref="E240" authorId="0" shapeId="0" xr:uid="{EE8DC13C-2C76-46B2-A4A9-233D614A20C7}">
      <text>
        <r>
          <rPr>
            <b/>
            <sz val="18"/>
            <color indexed="81"/>
            <rFont val="Segoe UI"/>
            <family val="2"/>
          </rPr>
          <t xml:space="preserve">Valores conforme a execução orçamentária do SISCONT.NET. </t>
        </r>
        <r>
          <rPr>
            <sz val="18"/>
            <color indexed="81"/>
            <rFont val="Segoe UI"/>
            <family val="2"/>
          </rPr>
          <t xml:space="preserve">
</t>
        </r>
      </text>
    </comment>
    <comment ref="E251" authorId="0" shapeId="0" xr:uid="{C6CBBBC4-F4A9-4A25-B2F9-E4987DEEE7A8}">
      <text>
        <r>
          <rPr>
            <b/>
            <sz val="18"/>
            <color indexed="81"/>
            <rFont val="Segoe UI"/>
            <family val="2"/>
          </rPr>
          <t xml:space="preserve">Valores conforme a execução orçamentária do SISCONT.NET. </t>
        </r>
        <r>
          <rPr>
            <sz val="18"/>
            <color indexed="81"/>
            <rFont val="Segoe UI"/>
            <family val="2"/>
          </rPr>
          <t xml:space="preserve">
</t>
        </r>
      </text>
    </comment>
    <comment ref="E266" authorId="0" shapeId="0" xr:uid="{3F5CDC63-E9E3-4ACF-8EAF-DAD8C4EDF038}">
      <text>
        <r>
          <rPr>
            <b/>
            <sz val="18"/>
            <color indexed="81"/>
            <rFont val="Segoe UI"/>
            <family val="2"/>
          </rPr>
          <t xml:space="preserve">Valores conforme a execução orçamentária do SISCONT.NET. </t>
        </r>
        <r>
          <rPr>
            <sz val="18"/>
            <color indexed="81"/>
            <rFont val="Segoe UI"/>
            <family val="2"/>
          </rPr>
          <t xml:space="preserve">
</t>
        </r>
      </text>
    </comment>
    <comment ref="D277" authorId="0" shapeId="0" xr:uid="{8416075E-931A-4DA4-BD37-F910686F315D}">
      <text>
        <r>
          <rPr>
            <b/>
            <sz val="18"/>
            <color indexed="81"/>
            <rFont val="Segoe UI"/>
            <family val="2"/>
          </rPr>
          <t xml:space="preserve">Valores conforme a execução orçamentária do SISCONT.NET. </t>
        </r>
        <r>
          <rPr>
            <sz val="18"/>
            <color indexed="81"/>
            <rFont val="Segoe UI"/>
            <family val="2"/>
          </rPr>
          <t xml:space="preserve">
</t>
        </r>
      </text>
    </comment>
    <comment ref="E285" authorId="0" shapeId="0" xr:uid="{330FA4DD-1B97-4866-BA0A-07BF1679A6C9}">
      <text>
        <r>
          <rPr>
            <b/>
            <sz val="18"/>
            <color indexed="81"/>
            <rFont val="Segoe UI"/>
            <family val="2"/>
          </rPr>
          <t xml:space="preserve">Valores conforme a execução orçamentária do SISCONT.NET. </t>
        </r>
        <r>
          <rPr>
            <sz val="18"/>
            <color indexed="81"/>
            <rFont val="Segoe UI"/>
            <family val="2"/>
          </rPr>
          <t xml:space="preserve">
</t>
        </r>
      </text>
    </comment>
    <comment ref="E318" authorId="0" shapeId="0" xr:uid="{9D222DFA-FFA2-4140-A23A-688FDC4D78F3}">
      <text>
        <r>
          <rPr>
            <b/>
            <sz val="18"/>
            <color indexed="81"/>
            <rFont val="Segoe UI"/>
            <family val="2"/>
          </rPr>
          <t xml:space="preserve">Valores conforme a execução orçamentária do SISCONT.NET. </t>
        </r>
        <r>
          <rPr>
            <sz val="18"/>
            <color indexed="81"/>
            <rFont val="Segoe UI"/>
            <family val="2"/>
          </rPr>
          <t xml:space="preserve">
</t>
        </r>
      </text>
    </comment>
    <comment ref="E332" authorId="0" shapeId="0" xr:uid="{D46EA973-1F86-4E26-97B7-FE23D68BC0EB}">
      <text>
        <r>
          <rPr>
            <b/>
            <sz val="18"/>
            <color indexed="81"/>
            <rFont val="Segoe UI"/>
            <family val="2"/>
          </rPr>
          <t xml:space="preserve">Valores conforme a execução orçamentária do SISCONT.NET. </t>
        </r>
        <r>
          <rPr>
            <sz val="18"/>
            <color indexed="81"/>
            <rFont val="Segoe UI"/>
            <family val="2"/>
          </rPr>
          <t xml:space="preserve">
</t>
        </r>
      </text>
    </comment>
    <comment ref="F336" authorId="1" shapeId="0" xr:uid="{AFA0B4C0-BAA1-4433-BCB6-6DD786EACC5E}">
      <text>
        <r>
          <rPr>
            <b/>
            <sz val="9"/>
            <color indexed="81"/>
            <rFont val="Segoe UI"/>
            <family val="2"/>
          </rPr>
          <t>Livian Fernandes Hott:</t>
        </r>
        <r>
          <rPr>
            <sz val="9"/>
            <color indexed="81"/>
            <rFont val="Segoe UI"/>
            <family val="2"/>
          </rPr>
          <t xml:space="preserve">
</t>
        </r>
        <r>
          <rPr>
            <sz val="14"/>
            <color indexed="81"/>
            <rFont val="Segoe UI"/>
            <family val="2"/>
          </rPr>
          <t xml:space="preserve">Nos meses de maio e junho devido a participação de membros do conselho no Congresso da AMM foram gastos R$ 20.900,61
</t>
        </r>
      </text>
    </comment>
    <comment ref="E360" authorId="0" shapeId="0" xr:uid="{9AF58DE5-544E-4DDC-9C68-5541B8093C0A}">
      <text>
        <r>
          <rPr>
            <b/>
            <sz val="18"/>
            <color indexed="81"/>
            <rFont val="Segoe UI"/>
            <family val="2"/>
          </rPr>
          <t xml:space="preserve">Valores conforme a execução orçamentária do SISCONT.NET. </t>
        </r>
        <r>
          <rPr>
            <sz val="18"/>
            <color indexed="81"/>
            <rFont val="Segoe UI"/>
            <family val="2"/>
          </rPr>
          <t xml:space="preserve">
</t>
        </r>
      </text>
    </comment>
    <comment ref="E370" authorId="0" shapeId="0" xr:uid="{54FAE61D-7317-4F10-B6E3-4F3B7F967B06}">
      <text>
        <r>
          <rPr>
            <b/>
            <sz val="18"/>
            <color indexed="81"/>
            <rFont val="Segoe UI"/>
            <family val="2"/>
          </rPr>
          <t xml:space="preserve">Valores conforme a execução orçamentária do SISCONT.NET. </t>
        </r>
        <r>
          <rPr>
            <sz val="18"/>
            <color indexed="81"/>
            <rFont val="Segoe UI"/>
            <family val="2"/>
          </rPr>
          <t xml:space="preserve">
</t>
        </r>
      </text>
    </comment>
    <comment ref="E385" authorId="0" shapeId="0" xr:uid="{FDAA96F5-4E53-47A8-906D-8F1ED445D71C}">
      <text>
        <r>
          <rPr>
            <b/>
            <sz val="18"/>
            <color indexed="81"/>
            <rFont val="Segoe UI"/>
            <family val="2"/>
          </rPr>
          <t xml:space="preserve">Valores conforme a execução orçamentária do SISCONT.NET. </t>
        </r>
        <r>
          <rPr>
            <sz val="18"/>
            <color indexed="81"/>
            <rFont val="Segoe UI"/>
            <family val="2"/>
          </rPr>
          <t xml:space="preserve">
</t>
        </r>
      </text>
    </comment>
    <comment ref="E396" authorId="0" shapeId="0" xr:uid="{284C46C4-1294-439E-9C10-8DAEFC281B3C}">
      <text>
        <r>
          <rPr>
            <b/>
            <sz val="18"/>
            <color indexed="81"/>
            <rFont val="Segoe UI"/>
            <family val="2"/>
          </rPr>
          <t xml:space="preserve">Valores conforme a execução orçamentária do SISCONT.NET. </t>
        </r>
        <r>
          <rPr>
            <sz val="18"/>
            <color indexed="81"/>
            <rFont val="Segoe UI"/>
            <family val="2"/>
          </rPr>
          <t xml:space="preserve">
</t>
        </r>
      </text>
    </comment>
    <comment ref="E407" authorId="0" shapeId="0" xr:uid="{ECF1618F-B21A-4212-B3A8-B387EF7197F9}">
      <text>
        <r>
          <rPr>
            <b/>
            <sz val="18"/>
            <color indexed="81"/>
            <rFont val="Segoe UI"/>
            <family val="2"/>
          </rPr>
          <t xml:space="preserve">Valores conforme a execução orçamentária do SISCONT.NET. </t>
        </r>
        <r>
          <rPr>
            <sz val="18"/>
            <color indexed="81"/>
            <rFont val="Segoe UI"/>
            <family val="2"/>
          </rPr>
          <t xml:space="preserve">
</t>
        </r>
      </text>
    </comment>
    <comment ref="E418" authorId="0" shapeId="0" xr:uid="{4AC1E333-9DAC-4934-B3E1-6B0A2CB56EAF}">
      <text>
        <r>
          <rPr>
            <b/>
            <sz val="18"/>
            <color indexed="81"/>
            <rFont val="Segoe UI"/>
            <family val="2"/>
          </rPr>
          <t xml:space="preserve">Valores conforme a execução orçamentária do SISCONT.NET. </t>
        </r>
        <r>
          <rPr>
            <sz val="18"/>
            <color indexed="81"/>
            <rFont val="Segoe UI"/>
            <family val="2"/>
          </rPr>
          <t xml:space="preserve">
</t>
        </r>
      </text>
    </comment>
    <comment ref="E430" authorId="0" shapeId="0" xr:uid="{915E67AD-10ED-4B82-A410-2C8021F23540}">
      <text>
        <r>
          <rPr>
            <b/>
            <sz val="18"/>
            <color indexed="81"/>
            <rFont val="Segoe UI"/>
            <family val="2"/>
          </rPr>
          <t xml:space="preserve">Valores conforme a execução orçamentária do SISCONT.NET. </t>
        </r>
        <r>
          <rPr>
            <sz val="18"/>
            <color indexed="81"/>
            <rFont val="Segoe UI"/>
            <family val="2"/>
          </rPr>
          <t xml:space="preserve">
</t>
        </r>
      </text>
    </comment>
    <comment ref="E439" authorId="0" shapeId="0" xr:uid="{F98F6768-4A43-4C27-8267-24C9AD78DF07}">
      <text>
        <r>
          <rPr>
            <b/>
            <sz val="18"/>
            <color indexed="81"/>
            <rFont val="Segoe UI"/>
            <family val="2"/>
          </rPr>
          <t xml:space="preserve">Valores conforme a execução orçamentária do SISCONT.NET. </t>
        </r>
        <r>
          <rPr>
            <sz val="18"/>
            <color indexed="81"/>
            <rFont val="Segoe UI"/>
            <family val="2"/>
          </rPr>
          <t xml:space="preserve">
</t>
        </r>
      </text>
    </comment>
    <comment ref="E452" authorId="0" shapeId="0" xr:uid="{073C6166-8668-48B4-99E5-267583F37A35}">
      <text>
        <r>
          <rPr>
            <b/>
            <sz val="18"/>
            <color indexed="81"/>
            <rFont val="Segoe UI"/>
            <family val="2"/>
          </rPr>
          <t xml:space="preserve">Valores conforme a execução orçamentária do SISCONT.NET. </t>
        </r>
        <r>
          <rPr>
            <sz val="18"/>
            <color indexed="81"/>
            <rFont val="Segoe UI"/>
            <family val="2"/>
          </rPr>
          <t xml:space="preserve">
</t>
        </r>
      </text>
    </comment>
    <comment ref="E466" authorId="0" shapeId="0" xr:uid="{1338BC5E-6414-4709-8A5D-E8E612067D42}">
      <text>
        <r>
          <rPr>
            <b/>
            <sz val="18"/>
            <color indexed="81"/>
            <rFont val="Segoe UI"/>
            <family val="2"/>
          </rPr>
          <t xml:space="preserve">Valores conforme a execução orçamentária do SISCONT.NET. </t>
        </r>
        <r>
          <rPr>
            <sz val="18"/>
            <color indexed="81"/>
            <rFont val="Segoe UI"/>
            <family val="2"/>
          </rPr>
          <t xml:space="preserve">
</t>
        </r>
      </text>
    </comment>
    <comment ref="E475" authorId="0" shapeId="0" xr:uid="{20976D20-2743-42AF-BCEE-03BF1E2AC44C}">
      <text>
        <r>
          <rPr>
            <b/>
            <sz val="18"/>
            <color indexed="81"/>
            <rFont val="Segoe UI"/>
            <family val="2"/>
          </rPr>
          <t xml:space="preserve">Valores conforme a execução orçamentária do SISCONT.NET. </t>
        </r>
        <r>
          <rPr>
            <sz val="18"/>
            <color indexed="81"/>
            <rFont val="Segoe UI"/>
            <family val="2"/>
          </rPr>
          <t xml:space="preserve">
</t>
        </r>
      </text>
    </comment>
    <comment ref="E489" authorId="0" shapeId="0" xr:uid="{1D28D482-997F-46BA-9BC3-05C4619A7C50}">
      <text>
        <r>
          <rPr>
            <b/>
            <sz val="18"/>
            <color indexed="81"/>
            <rFont val="Segoe UI"/>
            <family val="2"/>
          </rPr>
          <t xml:space="preserve">Valores conforme a execução orçamentária do SISCONT.NET. </t>
        </r>
        <r>
          <rPr>
            <sz val="18"/>
            <color indexed="81"/>
            <rFont val="Segoe UI"/>
            <family val="2"/>
          </rPr>
          <t xml:space="preserve">
</t>
        </r>
      </text>
    </comment>
    <comment ref="E502" authorId="0" shapeId="0" xr:uid="{73BF6793-6739-41E6-B32C-F2FAA8FD0ECB}">
      <text>
        <r>
          <rPr>
            <b/>
            <sz val="18"/>
            <color indexed="81"/>
            <rFont val="Segoe UI"/>
            <family val="2"/>
          </rPr>
          <t xml:space="preserve">Valores conforme a execução orçamentária do SISCONT.NET. </t>
        </r>
        <r>
          <rPr>
            <sz val="18"/>
            <color indexed="81"/>
            <rFont val="Segoe UI"/>
            <family val="2"/>
          </rPr>
          <t xml:space="preserve">
</t>
        </r>
      </text>
    </comment>
    <comment ref="E511" authorId="0" shapeId="0" xr:uid="{FB0D3107-6E06-4FC9-B91E-10D733EA87B1}">
      <text>
        <r>
          <rPr>
            <b/>
            <sz val="18"/>
            <color indexed="81"/>
            <rFont val="Segoe UI"/>
            <family val="2"/>
          </rPr>
          <t xml:space="preserve">Valores conforme a execução orçamentária do SISCONT.NET. </t>
        </r>
        <r>
          <rPr>
            <sz val="18"/>
            <color indexed="81"/>
            <rFont val="Segoe UI"/>
            <family val="2"/>
          </rPr>
          <t xml:space="preserve">
</t>
        </r>
      </text>
    </comment>
    <comment ref="E522" authorId="0" shapeId="0" xr:uid="{7DD91478-D8BF-40E6-8BA8-6BEEE007AE79}">
      <text>
        <r>
          <rPr>
            <b/>
            <sz val="18"/>
            <color indexed="81"/>
            <rFont val="Segoe UI"/>
            <family val="2"/>
          </rPr>
          <t xml:space="preserve">Valores conforme a execução orçamentária do SISCONT.NET. </t>
        </r>
        <r>
          <rPr>
            <sz val="18"/>
            <color indexed="81"/>
            <rFont val="Segoe UI"/>
            <family val="2"/>
          </rPr>
          <t xml:space="preserve">
</t>
        </r>
      </text>
    </comment>
    <comment ref="E535" authorId="0" shapeId="0" xr:uid="{EDB37445-10D1-4864-B1F3-D3D8FB272742}">
      <text>
        <r>
          <rPr>
            <b/>
            <sz val="18"/>
            <color indexed="81"/>
            <rFont val="Segoe UI"/>
            <family val="2"/>
          </rPr>
          <t xml:space="preserve">Valores conforme a execução orçamentária do SISCONT.NET. </t>
        </r>
        <r>
          <rPr>
            <sz val="18"/>
            <color indexed="81"/>
            <rFont val="Segoe UI"/>
            <family val="2"/>
          </rPr>
          <t xml:space="preserve">
</t>
        </r>
      </text>
    </comment>
    <comment ref="E550" authorId="0" shapeId="0" xr:uid="{68095B6C-285B-4D51-883A-A30FE51A0010}">
      <text>
        <r>
          <rPr>
            <b/>
            <sz val="18"/>
            <color indexed="81"/>
            <rFont val="Segoe UI"/>
            <family val="2"/>
          </rPr>
          <t xml:space="preserve">Valores conforme a execução orçamentária do SISCONT.NET. </t>
        </r>
        <r>
          <rPr>
            <sz val="18"/>
            <color indexed="81"/>
            <rFont val="Segoe UI"/>
            <family val="2"/>
          </rPr>
          <t xml:space="preserve">
</t>
        </r>
      </text>
    </comment>
    <comment ref="E566" authorId="0" shapeId="0" xr:uid="{52BEC4D4-3963-404C-B4C0-B6292DB40D9B}">
      <text>
        <r>
          <rPr>
            <b/>
            <sz val="18"/>
            <color indexed="81"/>
            <rFont val="Segoe UI"/>
            <family val="2"/>
          </rPr>
          <t xml:space="preserve">Valores conforme a execução orçamentária do SISCONT.NET. </t>
        </r>
        <r>
          <rPr>
            <sz val="18"/>
            <color indexed="81"/>
            <rFont val="Segoe UI"/>
            <family val="2"/>
          </rPr>
          <t xml:space="preserve">
</t>
        </r>
      </text>
    </comment>
    <comment ref="E580" authorId="0" shapeId="0" xr:uid="{69BED537-0E84-4168-A79D-F1D360DD6160}">
      <text>
        <r>
          <rPr>
            <b/>
            <sz val="18"/>
            <color indexed="81"/>
            <rFont val="Segoe UI"/>
            <family val="2"/>
          </rPr>
          <t xml:space="preserve">Valores conforme a execução orçamentária do SISCONT.NET. </t>
        </r>
        <r>
          <rPr>
            <sz val="18"/>
            <color indexed="81"/>
            <rFont val="Segoe UI"/>
            <family val="2"/>
          </rPr>
          <t xml:space="preserve">
</t>
        </r>
      </text>
    </comment>
    <comment ref="E589" authorId="0" shapeId="0" xr:uid="{367AC514-8299-4BB5-854E-3B4EAF343737}">
      <text>
        <r>
          <rPr>
            <b/>
            <sz val="18"/>
            <color indexed="81"/>
            <rFont val="Segoe UI"/>
            <family val="2"/>
          </rPr>
          <t xml:space="preserve">Valores conforme a execução orçamentária do SISCONT.NET. </t>
        </r>
        <r>
          <rPr>
            <sz val="18"/>
            <color indexed="81"/>
            <rFont val="Segoe UI"/>
            <family val="2"/>
          </rPr>
          <t xml:space="preserve">
</t>
        </r>
      </text>
    </comment>
    <comment ref="E598" authorId="0" shapeId="0" xr:uid="{EFB8DF37-2DE9-4BA9-9558-111D0A9A9EDB}">
      <text>
        <r>
          <rPr>
            <b/>
            <sz val="18"/>
            <color indexed="81"/>
            <rFont val="Segoe UI"/>
            <family val="2"/>
          </rPr>
          <t xml:space="preserve">Valores conforme a execução orçamentária do SISCONT.NET. </t>
        </r>
        <r>
          <rPr>
            <sz val="18"/>
            <color indexed="81"/>
            <rFont val="Segoe UI"/>
            <family val="2"/>
          </rPr>
          <t xml:space="preserve">
</t>
        </r>
      </text>
    </comment>
    <comment ref="E610" authorId="0" shapeId="0" xr:uid="{776F4B29-D12D-40FB-90E5-627805DFD698}">
      <text>
        <r>
          <rPr>
            <b/>
            <sz val="18"/>
            <color indexed="81"/>
            <rFont val="Segoe UI"/>
            <family val="2"/>
          </rPr>
          <t xml:space="preserve">Valores conforme a execução orçamentária do SISCONT.NET. </t>
        </r>
        <r>
          <rPr>
            <sz val="18"/>
            <color indexed="81"/>
            <rFont val="Segoe UI"/>
            <family val="2"/>
          </rPr>
          <t xml:space="preserve">
</t>
        </r>
      </text>
    </comment>
    <comment ref="E622" authorId="0" shapeId="0" xr:uid="{BAF18326-3496-4261-B0CC-C86E769B52B3}">
      <text>
        <r>
          <rPr>
            <b/>
            <sz val="18"/>
            <color indexed="81"/>
            <rFont val="Segoe UI"/>
            <family val="2"/>
          </rPr>
          <t xml:space="preserve">Valores conforme a execução orçamentária do SISCONT.NET. </t>
        </r>
        <r>
          <rPr>
            <sz val="18"/>
            <color indexed="81"/>
            <rFont val="Segoe UI"/>
            <family val="2"/>
          </rPr>
          <t xml:space="preserve">
</t>
        </r>
      </text>
    </comment>
    <comment ref="E634" authorId="0" shapeId="0" xr:uid="{4E317DBA-29DC-4C36-893C-E598195BD8DB}">
      <text>
        <r>
          <rPr>
            <b/>
            <sz val="18"/>
            <color indexed="81"/>
            <rFont val="Segoe UI"/>
            <family val="2"/>
          </rPr>
          <t xml:space="preserve">Valores conforme a execução orçamentária do SISCONT.NET. </t>
        </r>
        <r>
          <rPr>
            <sz val="18"/>
            <color indexed="81"/>
            <rFont val="Segoe UI"/>
            <family val="2"/>
          </rPr>
          <t xml:space="preserve">
</t>
        </r>
      </text>
    </comment>
    <comment ref="E646" authorId="0" shapeId="0" xr:uid="{906570C0-EA41-46AC-90DE-40766B8FD60B}">
      <text>
        <r>
          <rPr>
            <b/>
            <sz val="18"/>
            <color indexed="81"/>
            <rFont val="Segoe UI"/>
            <family val="2"/>
          </rPr>
          <t xml:space="preserve">Valores conforme a execução orçamentária do SISCONT.NET. </t>
        </r>
        <r>
          <rPr>
            <sz val="18"/>
            <color indexed="81"/>
            <rFont val="Segoe UI"/>
            <family val="2"/>
          </rPr>
          <t xml:space="preserve">
</t>
        </r>
      </text>
    </comment>
    <comment ref="E658" authorId="0" shapeId="0" xr:uid="{73668F58-7438-4DB2-94FE-1CC81C33172B}">
      <text>
        <r>
          <rPr>
            <b/>
            <sz val="18"/>
            <color indexed="81"/>
            <rFont val="Segoe UI"/>
            <family val="2"/>
          </rPr>
          <t xml:space="preserve">Valores conforme a execução orçamentária do SISCONT.NET. </t>
        </r>
        <r>
          <rPr>
            <sz val="18"/>
            <color indexed="81"/>
            <rFont val="Segoe UI"/>
            <family val="2"/>
          </rPr>
          <t xml:space="preserve">
</t>
        </r>
      </text>
    </comment>
  </commentList>
</comments>
</file>

<file path=xl/sharedStrings.xml><?xml version="1.0" encoding="utf-8"?>
<sst xmlns="http://schemas.openxmlformats.org/spreadsheetml/2006/main" count="2019" uniqueCount="418">
  <si>
    <t xml:space="preserve">As informações devem ser transcritas para Quadro Geral. As células sinalizadas, em cinza, são fórmulas e não devem ser modificadas.
OBS: As ações estratégias são específicas de cada objetivo estratégico. A opção "Não se aplica" deve ser utilizada quando a ação  descrita não faz parte do rol das "Ações Estratégicas Prioritárias". </t>
  </si>
  <si>
    <t>Denominação do Projeto ou Atividade :</t>
  </si>
  <si>
    <t>Manter e Desenvolver as Atividades da Comissão de Ensino e Formação</t>
  </si>
  <si>
    <t>Objetivo Estratégico Principal</t>
  </si>
  <si>
    <t>Influenciar as diretrizes do ensino de Arquitetura e Urbanismo e sua formação continuada</t>
  </si>
  <si>
    <t>Ação</t>
  </si>
  <si>
    <t>Custo da Ação</t>
  </si>
  <si>
    <t xml:space="preserve">Fundo de Apoio </t>
  </si>
  <si>
    <t>Previsão na 4ª Revisão do Plano de Ação do Triênio 2021-2023</t>
  </si>
  <si>
    <t>A custear com SUPERÁVIT</t>
  </si>
  <si>
    <t>Metas Físicas</t>
  </si>
  <si>
    <t>Reprogramação 
2023
(A)</t>
  </si>
  <si>
    <t>Programação ordinária 2024
(B)</t>
  </si>
  <si>
    <t>Variação%
(C=B/A)</t>
  </si>
  <si>
    <t>A custear com Recursos do Fundo de Apoio (R$) 
(F)</t>
  </si>
  <si>
    <t>% Utilização do 
Fundo de Apoio 
(G=F/D)</t>
  </si>
  <si>
    <t>Meta da Ação  (Quant.)</t>
  </si>
  <si>
    <t>Descrições das Ações</t>
  </si>
  <si>
    <t>Corrente</t>
  </si>
  <si>
    <t>N/A</t>
  </si>
  <si>
    <t>Capital</t>
  </si>
  <si>
    <r>
      <rPr>
        <b/>
        <sz val="20"/>
        <rFont val="Calibri"/>
        <family val="2"/>
        <scheme val="minor"/>
      </rPr>
      <t>Realizar o calendário de seis Reuniões Extraordinárias</t>
    </r>
    <r>
      <rPr>
        <sz val="20"/>
        <rFont val="Calibri"/>
        <family val="2"/>
        <scheme val="minor"/>
      </rPr>
      <t xml:space="preserve"> para a apreciação de demandas extraordinárias e planejamento de novas atividades. </t>
    </r>
  </si>
  <si>
    <t xml:space="preserve">Não </t>
  </si>
  <si>
    <r>
      <t xml:space="preserve">Custear a participação dos membros da Comissão em reuniões e eventos de interesse </t>
    </r>
    <r>
      <rPr>
        <sz val="20"/>
        <color theme="1"/>
        <rFont val="Calibri"/>
        <family val="2"/>
        <scheme val="minor"/>
      </rPr>
      <t>ou previstos pela própria comissão.</t>
    </r>
  </si>
  <si>
    <r>
      <rPr>
        <b/>
        <sz val="20"/>
        <color rgb="FF000000"/>
        <rFont val="Calibri"/>
        <family val="2"/>
        <scheme val="minor"/>
      </rPr>
      <t>Prêmio TCC 2024</t>
    </r>
    <r>
      <rPr>
        <sz val="20"/>
        <color rgb="FF000000"/>
        <rFont val="Calibri"/>
        <family val="2"/>
        <scheme val="minor"/>
      </rPr>
      <t xml:space="preserve"> - Premiar os melhores trabalhos de conclusão dos cursos de arquitetura e urbanismo de Minas Gerais e suas respectivas Instituições de Ensino Superior (IES), fomentando o ensino de qualidade da arquitetura e urbanismo.</t>
    </r>
  </si>
  <si>
    <t>Total</t>
  </si>
  <si>
    <t>Manter e Desenvolver as Atividades da Comissão de Ética e Disciplina</t>
  </si>
  <si>
    <t>Promover o exercício ético e qualificado da profissão</t>
  </si>
  <si>
    <r>
      <t xml:space="preserve">Custear a participação dos membros da Comissão em reuniões e eventos de interesse </t>
    </r>
    <r>
      <rPr>
        <sz val="20"/>
        <rFont val="Calibri"/>
        <family val="2"/>
        <scheme val="minor"/>
      </rPr>
      <t>ou previstos pela própria comissão.</t>
    </r>
  </si>
  <si>
    <t>Manter e Desenvolver as Atividades da Comissão de Exercício Profissional</t>
  </si>
  <si>
    <t>Tornar a fiscalização um vetor de melhoria do exercício da Arquitetura e Urbanismo</t>
  </si>
  <si>
    <t>Manter e Desenvolver as Atividades da Comissão de Planejamento e Finanças</t>
  </si>
  <si>
    <t>Assegurar a sustentabilidade financeira</t>
  </si>
  <si>
    <r>
      <rPr>
        <b/>
        <sz val="20"/>
        <rFont val="Calibri"/>
        <family val="2"/>
        <scheme val="minor"/>
      </rPr>
      <t xml:space="preserve">Custear a participação dos membros da Comissão em reuniões e eventos de interesse </t>
    </r>
    <r>
      <rPr>
        <sz val="20"/>
        <rFont val="Calibri"/>
        <family val="2"/>
        <scheme val="minor"/>
      </rPr>
      <t>ou previstos pela própria comissão .</t>
    </r>
  </si>
  <si>
    <t>Manter e Desenvolver as Atividades da Comissão de Organização e Administração</t>
  </si>
  <si>
    <t>Aprimorar e inovar os processos e as ações</t>
  </si>
  <si>
    <t>Manter e Desenvolver as Atividades da Comissão Especial de Política Urbana e Ambiental</t>
  </si>
  <si>
    <t>Garantir a participação dos Arquitetos e Urbanistas no planejamento territorial e na gestão urbana</t>
  </si>
  <si>
    <t>Manter e Desenvolver as Atividades da Comissão Especial de Assistência Técnica para Habitação de Interesse Social</t>
  </si>
  <si>
    <t>Fomentar o acesso da sociedade à Arquitetura e Urbanismo</t>
  </si>
  <si>
    <t>Manter e Desenvolver as Atividades da Comissão Especial de Patrimônio Cultural</t>
  </si>
  <si>
    <t>Estimular a produção da Arquitetura e Urbanismo como política de Estado</t>
  </si>
  <si>
    <t>Manter e Desenvolver as Atividades da Presidência e dos Conselheiros Federais</t>
  </si>
  <si>
    <t>Construir cultura organizacional adequada à estratégia</t>
  </si>
  <si>
    <r>
      <rPr>
        <b/>
        <sz val="20"/>
        <rFont val="Calibri"/>
        <family val="2"/>
        <scheme val="minor"/>
      </rPr>
      <t>Manutenção de 100% das despesas mensais com o pagamento de postagens institucionais e despesas com serviço de veículo executivo</t>
    </r>
    <r>
      <rPr>
        <sz val="20"/>
        <rFont val="Calibri"/>
        <family val="2"/>
        <scheme val="minor"/>
      </rPr>
      <t>, para o cumprimento das atribuições da Presidência do CAU/MG.</t>
    </r>
  </si>
  <si>
    <t>Realizar a aquisição de cota diamante de patrocínio pelo CAU/MG para a organização do evento "Jornadas Científicas França-Brasil: Troca de experiências em manutenção e restauração de patrimônio construído em concreto", promovido pelo Conselho Internacional de Monumentos e Sítios (ICOMOS França) e do ICOMOS Brasil</t>
  </si>
  <si>
    <t>Manter e Desenvolver as Atividades de Comissões Temporárias</t>
  </si>
  <si>
    <t>Editais de Patrocínio modalidade Patrimônio Cultural</t>
  </si>
  <si>
    <t>Estimular o conhecimento, o uso de processos criativos e a difusão das melhores práticas em Arquitetura e Urbanismo</t>
  </si>
  <si>
    <t>Editais de Patrocínio Modalidade Política Urbana</t>
  </si>
  <si>
    <t>Editais de Patrocínio modalidade Política Urbana.</t>
  </si>
  <si>
    <t>Editais de Apoio Institucional Fluxo Contínuo.</t>
  </si>
  <si>
    <t>Assistência Técnica para Habitação de Interesse Social (ATHIS)</t>
  </si>
  <si>
    <r>
      <t xml:space="preserve">Ações Institucionais - Fomento e Inovação: lançar </t>
    </r>
    <r>
      <rPr>
        <b/>
        <sz val="20"/>
        <rFont val="Calibri"/>
        <family val="2"/>
        <scheme val="minor"/>
      </rPr>
      <t>um Edital de Chamada Pública de Patrocínio na modalidade Assistência Técnica para Habitação de Interesse Social (ATHIS)</t>
    </r>
    <r>
      <rPr>
        <sz val="20"/>
        <rFont val="Calibri"/>
        <family val="2"/>
        <scheme val="minor"/>
      </rPr>
      <t>, a partir de diretrizes elaboradas pela CATHIS-CAU/MG, destinado a promover melhores condições de vida para as populações em situação de vulnerabilidade social, fundamentado na função social do Arquiteto(a) e Urbanista e no que se estabelece como Athis na Lei Federal n° 11.888, de 2008.</t>
    </r>
  </si>
  <si>
    <t>AÇÃO: 1.5.3.3 – DIRETRIZES PARA O EDITAL DE PATROCÍNIO NA MODALIDADE ATHIS – 2023</t>
  </si>
  <si>
    <t>Representação Institucional do CAU/MG I</t>
  </si>
  <si>
    <t>Capacitações</t>
  </si>
  <si>
    <t>Desenvolver competências de dirigentes e colaboradores</t>
  </si>
  <si>
    <r>
      <rPr>
        <b/>
        <sz val="20"/>
        <rFont val="Calibri"/>
        <family val="2"/>
        <scheme val="minor"/>
      </rPr>
      <t>Participações de dirigentes em eventos, reuniões técnicas, treinamentos promovidos pelo CAU/BR</t>
    </r>
    <r>
      <rPr>
        <sz val="20"/>
        <rFont val="Calibri"/>
        <family val="2"/>
        <scheme val="minor"/>
      </rPr>
      <t>, conforme disponibilidade financeira e público alvo do evento.</t>
    </r>
  </si>
  <si>
    <r>
      <rPr>
        <b/>
        <sz val="20"/>
        <rFont val="Calibri"/>
        <family val="2"/>
        <scheme val="minor"/>
      </rPr>
      <t>Participações de colaboradores em eventos, reuniões técnicas, treinamentos promovidos pelo CAU/BR</t>
    </r>
    <r>
      <rPr>
        <sz val="20"/>
        <rFont val="Calibri"/>
        <family val="2"/>
        <scheme val="minor"/>
      </rPr>
      <t>, conforme disponibilidade financeira e público alvo do evento.</t>
    </r>
  </si>
  <si>
    <t>Capacitação pregões eletrônicos - Nova Lei de Licitações</t>
  </si>
  <si>
    <r>
      <t xml:space="preserve">Custear </t>
    </r>
    <r>
      <rPr>
        <b/>
        <sz val="20"/>
        <rFont val="Calibri"/>
        <family val="2"/>
        <scheme val="minor"/>
      </rPr>
      <t>participação de colaborador(es) na Conferência Nacional do Secretariado (CONASEC).</t>
    </r>
    <r>
      <rPr>
        <sz val="20"/>
        <rFont val="Calibri"/>
        <family val="2"/>
        <scheme val="minor"/>
      </rPr>
      <t xml:space="preserve"> </t>
    </r>
    <r>
      <rPr>
        <b/>
        <sz val="20"/>
        <color rgb="FFFF0000"/>
        <rFont val="Calibri"/>
        <family val="2"/>
        <scheme val="minor"/>
      </rPr>
      <t>(SECGERAL)</t>
    </r>
  </si>
  <si>
    <t>AÇÃO: 4.1.7 – PARTICIPAÇÃO DE COLABORADOR(ES) NA CONFERÊNCIA NACIONAL DO SECRETARIADO (CONASEC)</t>
  </si>
  <si>
    <t>6ª Conferência Nacional dos Conselhos Profissionais.</t>
  </si>
  <si>
    <t>Capacitação em Informática para os empregados do CAU/MG.</t>
  </si>
  <si>
    <t>AÇÃO: 4.1.11 – CAPACITAÇÃO EM INFORMÁTICA PARA OS EMPREGADOS DO CAU/MG</t>
  </si>
  <si>
    <t>Participação no Encontro Nacional de Planejamento pelos empregados do CAU/MG- INSTITUTO BRASILEIRO DE VALORIZACAO E CAPACITACAO - IBVC LTDA</t>
  </si>
  <si>
    <t>AÇÃO 4.1.4 CONTRATAR E PROMOVER TREINAMENTO DE ATENDIMENTO AOS PÚBLICO PARA OS EMPREGADOS LOTADOS NO ATENDIMENTO</t>
  </si>
  <si>
    <t>Manter e Desenvolver as Atividades da Ouvidoria</t>
  </si>
  <si>
    <t>Assegurar a eficácia no atendimento e no relacionamento com os Arquitetos e Urbanistas e a Sociedade</t>
  </si>
  <si>
    <t>Manter e Desenvolver as Atividades da Assessoria de Comunicação</t>
  </si>
  <si>
    <t>Assegurar a eficácia no relacionamento e comunicação com a sociedade</t>
  </si>
  <si>
    <t xml:space="preserve">AÇÃO: 2.1.22 – LICITAÇÃO PARA CONTRATAÇÃO DE EMPRESA DE PUBLICIDADE </t>
  </si>
  <si>
    <t>AÇÃO: 2.2.12 – PROPOR PUBLICAÇÃO LITERÁRIA NA ÁREA DE ARQUITETURA E URBANISMO</t>
  </si>
  <si>
    <t xml:space="preserve">Manter e Desenvolver as Atividades da Assessoria de Eventos </t>
  </si>
  <si>
    <r>
      <t xml:space="preserve">Manutenção de </t>
    </r>
    <r>
      <rPr>
        <b/>
        <sz val="20"/>
        <rFont val="Calibri"/>
        <family val="2"/>
        <scheme val="minor"/>
      </rPr>
      <t>100% das despesas com o fornecimento de materiais de consumo, produtos alimentícios e congêneres para eventos</t>
    </r>
    <r>
      <rPr>
        <sz val="20"/>
        <rFont val="Calibri"/>
        <family val="2"/>
        <scheme val="minor"/>
      </rPr>
      <t xml:space="preserve"> realizados pelo CAU/MG. </t>
    </r>
  </si>
  <si>
    <r>
      <rPr>
        <b/>
        <sz val="20"/>
        <rFont val="Calibri"/>
        <family val="2"/>
        <scheme val="minor"/>
      </rPr>
      <t>CASACOR Minas Gerais 2023</t>
    </r>
    <r>
      <rPr>
        <sz val="20"/>
        <rFont val="Calibri"/>
        <family val="2"/>
        <scheme val="minor"/>
      </rPr>
      <t>: apoiar e participar em forma de palestra de uma mostra de arquitetura, design de interiores e paisagismo, que reúne renomados arquitetos, designers de interiores e paisagistas</t>
    </r>
  </si>
  <si>
    <t xml:space="preserve">Locação de espaço para participação do 38º Congresso Mineiro de Municípios e 36ª Feira para o
Desenvolvimento dos Municípios, promovido pela Associação Mineira de Municípios (AMM), </t>
  </si>
  <si>
    <t>Manter e Desenvolver as Atividades da Gerência Geral</t>
  </si>
  <si>
    <t>Mudança e Adequações da nova Sede e escritórios descentralizados do CAU/MG</t>
  </si>
  <si>
    <t>Ter sistemas de informação e infraestrutura que viabilizem a gestão e o atendimento dos arquitetos e urbanistas e a sociedade</t>
  </si>
  <si>
    <t>AÇÃO: 5.2.1.2 – ADEQUAÇÃO DE ESPAÇOS FÍSICOS NOS ESCRITÓRIOS DESCENTRALIZADOS</t>
  </si>
  <si>
    <r>
      <rPr>
        <b/>
        <sz val="20"/>
        <rFont val="Calibri"/>
        <family val="2"/>
        <scheme val="minor"/>
      </rPr>
      <t xml:space="preserve">Adequação de espaços físicos </t>
    </r>
    <r>
      <rPr>
        <sz val="20"/>
        <rFont val="Calibri"/>
        <family val="2"/>
        <scheme val="minor"/>
      </rPr>
      <t xml:space="preserve">da Sede e Escritórios descentralizados do CAU/MG- </t>
    </r>
    <r>
      <rPr>
        <b/>
        <sz val="20"/>
        <rFont val="Calibri"/>
        <family val="2"/>
        <scheme val="minor"/>
      </rPr>
      <t>Itens Imobilizados.</t>
    </r>
  </si>
  <si>
    <t>AÇÃO: 5.2.1.3 – QUALIFICAÇÃO DOS ESCRITÓRIOS DESCENTRALIZADOS</t>
  </si>
  <si>
    <r>
      <t>Manutenção de 100% das despesas mensais com o</t>
    </r>
    <r>
      <rPr>
        <b/>
        <sz val="20"/>
        <rFont val="Calibri"/>
        <family val="2"/>
        <scheme val="minor"/>
      </rPr>
      <t xml:space="preserve"> pagamento de diárias, traslados e hospedagens a colaboradores</t>
    </r>
    <r>
      <rPr>
        <sz val="20"/>
        <rFont val="Calibri"/>
        <family val="2"/>
        <scheme val="minor"/>
      </rPr>
      <t xml:space="preserve"> para visita técnica aos escritórios descentralizados com objetivo de identificar as necessidades dos escritórios e buscar imóveis para mudança futura dos escritórios.</t>
    </r>
  </si>
  <si>
    <t xml:space="preserve">AÇÃO: 5.2.1.1 – LEVANTAMENTO DE POSSÍVEIS NECESSIDADES DE APRIMORAMENTO DE TODAS AS UNIDADES DE ESCRITÓRIOS DESCENTRALIZADOS		</t>
  </si>
  <si>
    <t>Manter e Desenvolver as Atividades da Secretaria Geral</t>
  </si>
  <si>
    <t>Locação dos aparelhos de Leitura Biométrica junto ao Conselho de Arquitetura e Urbanismo do Brasil- CAU/BR.</t>
  </si>
  <si>
    <t>Contratação de serviço de lavagem e conservação de veículos em geral</t>
  </si>
  <si>
    <t>Fiscalização Itinerante / Rotas</t>
  </si>
  <si>
    <t xml:space="preserve">Centro de Serviços Compartilhados (CSC) - Fiscalização </t>
  </si>
  <si>
    <r>
      <t xml:space="preserve">Cumprir calendário de </t>
    </r>
    <r>
      <rPr>
        <b/>
        <sz val="20"/>
        <rFont val="Calibri"/>
        <family val="2"/>
        <scheme val="minor"/>
      </rPr>
      <t>12 (doze) parcelas de repasse mensal ao Centro de Serviços Compartilhados (CSC) do CAU/BR.</t>
    </r>
  </si>
  <si>
    <t>AÇÃO: 5.2.2.2 – CONTRATAR EMPRESA DE TELEFONIA PELA INTERNET</t>
  </si>
  <si>
    <r>
      <rPr>
        <b/>
        <sz val="20"/>
        <rFont val="Calibri"/>
        <family val="2"/>
        <scheme val="minor"/>
      </rPr>
      <t>Locação dos aparelhos de Leitura Biométrica</t>
    </r>
    <r>
      <rPr>
        <sz val="20"/>
        <rFont val="Calibri"/>
        <family val="2"/>
        <scheme val="minor"/>
      </rPr>
      <t xml:space="preserve"> junto ao Conselho de Arquitetura e Urbanismo do Brasil- CAU/BR.</t>
    </r>
  </si>
  <si>
    <t>Centro de Serviços Compartilhados (CSC) - Atendimento</t>
  </si>
  <si>
    <r>
      <t xml:space="preserve">Cumprir calendário de </t>
    </r>
    <r>
      <rPr>
        <b/>
        <sz val="20"/>
        <color theme="1"/>
        <rFont val="Calibri"/>
        <family val="2"/>
        <scheme val="minor"/>
      </rPr>
      <t>12 (doze) parcelas de repasse mensal ao Centro de Serviços Compartilhados (CSC) do CAU/B</t>
    </r>
    <r>
      <rPr>
        <sz val="20"/>
        <color theme="1"/>
        <rFont val="Calibri"/>
        <family val="2"/>
        <scheme val="minor"/>
      </rPr>
      <t>R, no que tange ao Teleatendimento Qualificado (TAQ) e ao Teleatendimento pelo 0800.</t>
    </r>
  </si>
  <si>
    <t>Manter e Desenvolver as Atividades da Gerência Jurídica</t>
  </si>
  <si>
    <t>Fundo de Apoio aos CAU/UF</t>
  </si>
  <si>
    <r>
      <t xml:space="preserve">Cumprir o calendário de </t>
    </r>
    <r>
      <rPr>
        <b/>
        <sz val="20"/>
        <color theme="1"/>
        <rFont val="Calibri"/>
        <family val="2"/>
        <scheme val="minor"/>
      </rPr>
      <t>12 (doze) parcelas de repasse mensal ao Fundo de Apoio.</t>
    </r>
  </si>
  <si>
    <t>Reserva de Contingência</t>
  </si>
  <si>
    <r>
      <rPr>
        <b/>
        <sz val="20"/>
        <color theme="1"/>
        <rFont val="Calibri"/>
        <family val="2"/>
        <scheme val="minor"/>
      </rPr>
      <t>Garantir Reserva de Contingência</t>
    </r>
    <r>
      <rPr>
        <sz val="20"/>
        <color theme="1"/>
        <rFont val="Calibri"/>
        <family val="2"/>
        <scheme val="minor"/>
      </rPr>
      <t xml:space="preserve"> a partir da criação de um fundo para despesas não previstas ou necessidade de transposições.</t>
    </r>
  </si>
  <si>
    <r>
      <t xml:space="preserve">Manutenção de </t>
    </r>
    <r>
      <rPr>
        <b/>
        <sz val="20"/>
        <rFont val="Calibri"/>
        <family val="2"/>
        <scheme val="minor"/>
      </rPr>
      <t>100% das despesas mensais com o pagamento de colaboradores e benefícios</t>
    </r>
    <r>
      <rPr>
        <sz val="20"/>
        <rFont val="Calibri"/>
        <family val="2"/>
        <scheme val="minor"/>
      </rPr>
      <t xml:space="preserve"> para o cumprimento das atribuições da gerência.</t>
    </r>
  </si>
  <si>
    <r>
      <t xml:space="preserve">Manutenção de </t>
    </r>
    <r>
      <rPr>
        <b/>
        <sz val="20"/>
        <rFont val="Calibri"/>
        <family val="2"/>
        <scheme val="minor"/>
      </rPr>
      <t>100% das despesas mensais com material de expediente, material de copa e cozinha, fornecimento de gêneros alimentícios e materiais para manutenção de bens móveis.</t>
    </r>
  </si>
  <si>
    <r>
      <t xml:space="preserve">Manutenção de </t>
    </r>
    <r>
      <rPr>
        <b/>
        <sz val="20"/>
        <rFont val="Calibri"/>
        <family val="2"/>
        <scheme val="minor"/>
      </rPr>
      <t xml:space="preserve">100% das despesas mensais com os serviços de internet, informática, telecomunicações, limpeza e conservação, energia elétrica, medicina do trabalho, contratação de estagiários, Publicação de Editais, Despesas Miúdas de Pronto Pagamento e Demais Serviços Prestados </t>
    </r>
    <r>
      <rPr>
        <sz val="20"/>
        <rFont val="Calibri"/>
        <family val="2"/>
        <scheme val="minor"/>
      </rPr>
      <t>para o cumprimento das atribuições da gerência administrativa e financeira.</t>
    </r>
  </si>
  <si>
    <r>
      <t xml:space="preserve">Manutenção de </t>
    </r>
    <r>
      <rPr>
        <b/>
        <sz val="20"/>
        <rFont val="Calibri"/>
        <family val="2"/>
        <scheme val="minor"/>
      </rPr>
      <t>100% das despesas mensais com o pagamento de indenizações e restituições, Impostos e taxas, tarifas bancárias, seguros diversos.</t>
    </r>
  </si>
  <si>
    <r>
      <rPr>
        <b/>
        <sz val="20"/>
        <rFont val="Calibri"/>
        <family val="2"/>
        <scheme val="minor"/>
      </rPr>
      <t>Implementar o projeto piloto do teletrabalho</t>
    </r>
    <r>
      <rPr>
        <sz val="20"/>
        <rFont val="Calibri"/>
        <family val="2"/>
        <scheme val="minor"/>
      </rPr>
      <t xml:space="preserve"> aprovado na 137ª Reunião Plenária Ordinária do CAU/MG</t>
    </r>
  </si>
  <si>
    <t>AÇÃO: 5.2.12 – IMPLEMENTAÇÃO DO TELETRABALHO - PROJETO PILOTO</t>
  </si>
  <si>
    <t>Manter e Desenvolver as Atividades da Gerência Especial de Planejamento e Gestão Estratégica</t>
  </si>
  <si>
    <t>Manter e Desenvolver as Atividades do Escritório Descentralizado Norte de Minas</t>
  </si>
  <si>
    <r>
      <t xml:space="preserve">Manutenção de </t>
    </r>
    <r>
      <rPr>
        <b/>
        <sz val="20"/>
        <rFont val="Calibri"/>
        <family val="2"/>
        <scheme val="minor"/>
      </rPr>
      <t>100% das despesas mensais com o pagamento de colaboradores e benefícios</t>
    </r>
    <r>
      <rPr>
        <sz val="20"/>
        <rFont val="Calibri"/>
        <family val="2"/>
        <scheme val="minor"/>
      </rPr>
      <t xml:space="preserve"> para o cumprimento das atividades de atendimento realizadas no escritório descentralizado.</t>
    </r>
  </si>
  <si>
    <r>
      <t xml:space="preserve">Manutenção de </t>
    </r>
    <r>
      <rPr>
        <b/>
        <sz val="20"/>
        <rFont val="Calibri"/>
        <family val="2"/>
        <scheme val="minor"/>
      </rPr>
      <t xml:space="preserve">100% das despesas mensais com os serviços de internet, informática, telecomunicações, limpeza e conservação, energia elétrica, medicina do trabalho, seguros diversos, despesas miúdas de pronto pagamento e demais serviços </t>
    </r>
    <r>
      <rPr>
        <sz val="20"/>
        <rFont val="Calibri"/>
        <family val="2"/>
        <scheme val="minor"/>
      </rPr>
      <t>necessários para o cumprimento das atividades de atendimento e fiscalização realizadas no escritório descentralizado.</t>
    </r>
  </si>
  <si>
    <t>Manter e Desenvolver as Atividades do Escritório Descentralizado Triângulo Mineiro e Alto Paranaíba</t>
  </si>
  <si>
    <t>Manter e Desenvolver as Atividades do Escritório Descentralizado Zona da Mata e Vertentes</t>
  </si>
  <si>
    <t>Manter e Desenvolver as Atividades do Escritório Descentralizado Sul de Minas</t>
  </si>
  <si>
    <t>Manter e Desenvolver as Atividades do Escritório Descentralizado Leste de Minas</t>
  </si>
  <si>
    <t>Manter e Desenvolver as Atividades do Colegiado das Entidades Estaduais de Arquitetos e Urbanistas do CAU/MG</t>
  </si>
  <si>
    <t>Valorizar a Arquitetura e Urbanismo</t>
  </si>
  <si>
    <r>
      <t xml:space="preserve">Custear a </t>
    </r>
    <r>
      <rPr>
        <b/>
        <sz val="20"/>
        <rFont val="Calibri"/>
        <family val="2"/>
        <scheme val="minor"/>
      </rPr>
      <t>participação dos membros do Colegiado em reuniões e eventos de interesse ou previstos pelo próprio Colegiado</t>
    </r>
    <r>
      <rPr>
        <sz val="20"/>
        <rFont val="Calibri"/>
        <family val="2"/>
        <scheme val="minor"/>
      </rPr>
      <t>.</t>
    </r>
  </si>
  <si>
    <t>Concurso público 2023</t>
  </si>
  <si>
    <t>Realizar o concurso público, visando formação de cadastro de reserva e provimento de cargos efetivos de nível médio e superior para o quadro de funcionários do Conselho de Arquitetura e Urbanismo de Minas Gerais</t>
  </si>
  <si>
    <t>COMENTÁRIOS/JUSTIFICATIVAS:</t>
  </si>
  <si>
    <t>Orientações de Preenchimento do Anexo 4.Descritivo</t>
  </si>
  <si>
    <r>
      <t>1. Denominação do Projeto ou Atividade : Nome da iniciativa estratégica de acordo com o Quadro Geral.
2. Metas Físicas: bem ou serviço qualificado e quantificado resultante da execução da ação. Para efeito de padronização, as metas são organizadas em dois conjuntos
a) Meta da ação: consiste no quantitativo da ação. 
b) Descrição das ações: descrevem as iniciativas especificas que devem ser executadas dentro de um projeto ou de uma atividade para produzir os resultados estabelecidos. A ação deve transmitir com clareza a sua finalidade, conteúdo e forma de implementação (o que vai ser feito, por que será feito, onde será feito, quando será feito, como vai ser feito e com que finalidade, por quem será feito e quanto vai custar). Exemplo: Realização de cursos de capacitação no SICCAU. 
c) Ações Estratégicas Prioritárias: selecionar as ações que melhor se enquadram com o objetivo geral. A opção "Não se aplica" deve ser utilizada quando a ação descrita não faz parte do rol das "Ações Estratégicas Prioritárias". As ações selecionadas devem respeitar as  correlações com os objetivos estratégicos, conforme detalhamento na aba "Ações Estratégicas-Descrição".
3. Programação 2021: Considerar os valores aprovados vigentes na Programação do Plano de Ação 2021, de acordo com o quadro geral.
4. Reprogramação 2021: Considerar os valores executados até a data de corte com os valores projetados, de acordo com o quadro geral.
5. A custear com Recursos do Fundo de Apoio: Informar se o projeto ou atividade será financiada por recursos oriundos do fundo de apoio dos CAU/UF, apenas para os CAU/Básicos. Atenção: Cabe salientar que os CAU Básico, na elaboração de sua Reprogramação para 2021, deverão observar com maior rigor todos os procedimentos e estratégias estabelecidas nas Diretrizes e na</t>
    </r>
    <r>
      <rPr>
        <sz val="20"/>
        <color rgb="FFFF0000"/>
        <rFont val="Calibri"/>
        <family val="2"/>
        <scheme val="minor"/>
      </rPr>
      <t xml:space="preserve"> Resolução nº 119, valendo ressaltar “Art. 6° Os recursos provenientes do Fundo de Apoio deverão ser utilizados em estrita conformidade com o Plano de Ação aprovado, sendo vedada a sua utilização para despesas de capital”. Vale ressaltar também  que a participação nas reuniões plenárias ampliadas e o valor do CSC devem ser custeados pelo Fundo de Apoio.</t>
    </r>
    <r>
      <rPr>
        <sz val="20"/>
        <rFont val="Calibri"/>
        <family val="2"/>
        <scheme val="minor"/>
      </rPr>
      <t xml:space="preserve">
6. % Utilização do Fundo de Apoio: representatividade da utilização do fundo para custear a ação.</t>
    </r>
  </si>
  <si>
    <t>CAU nas Escolas</t>
  </si>
  <si>
    <t>Representação Institucional do CAU/MG</t>
  </si>
  <si>
    <t>Conferência e Seminário Anual de Planejamento do CAU/MG</t>
  </si>
  <si>
    <t>Capacitações GERJUR</t>
  </si>
  <si>
    <t>Capacitações Ouvidoria</t>
  </si>
  <si>
    <t>Capacitações GERGEL</t>
  </si>
  <si>
    <t>Capacitações Secretaria Geral</t>
  </si>
  <si>
    <t>Capacitações GEPLAN</t>
  </si>
  <si>
    <t>Capacitações Assessoria de Eventos</t>
  </si>
  <si>
    <t>Capacitações ASCOM</t>
  </si>
  <si>
    <t>Capacitações Assessoria Técnica</t>
  </si>
  <si>
    <r>
      <t xml:space="preserve">Manutenção de </t>
    </r>
    <r>
      <rPr>
        <b/>
        <sz val="20"/>
        <rFont val="Calibri"/>
        <family val="2"/>
        <scheme val="minor"/>
      </rPr>
      <t>100% das despesas mensais com diárias de convidados e palestrantes</t>
    </r>
    <r>
      <rPr>
        <sz val="20"/>
        <rFont val="Calibri"/>
        <family val="2"/>
        <scheme val="minor"/>
      </rPr>
      <t xml:space="preserve"> para a participação em eventos do CAU/MG.</t>
    </r>
  </si>
  <si>
    <t>Contratar empresa de telefonia pela internet - VOIP (GAF)</t>
  </si>
  <si>
    <t xml:space="preserve">Apoio Institucional a ser concedido pelo Conselho Diretor </t>
  </si>
  <si>
    <t>Curso de Capacitação em Regularização Fundiária</t>
  </si>
  <si>
    <t>Eventos do Setor da Construção Civil e do Exercício Profissional</t>
  </si>
  <si>
    <t>Contratar e promover treinamento de atendimento ao público para os empregados do CAU/MG</t>
  </si>
  <si>
    <t>Edital de Patrocínio para Entidades de Arquitetos e Urbanistas</t>
  </si>
  <si>
    <t>Fortalecer a relação institucional com as entidades de arquitetos e urbanistas no sentido de fomentar o acesso da sociedade à arquitetura e urbanismo.</t>
  </si>
  <si>
    <t>Promover a Gestão Documental do CAU/MG, atendendo à Portaria 398 do Arquivo Nacional.</t>
  </si>
  <si>
    <t>Gestão Documental do CAU/MG</t>
  </si>
  <si>
    <t>Capacitação em Regularização Fundiária</t>
  </si>
  <si>
    <t>Eventos Institucionais</t>
  </si>
  <si>
    <t>Participação no Congresso Mineiro Municípios.</t>
  </si>
  <si>
    <r>
      <rPr>
        <b/>
        <sz val="20"/>
        <rFont val="Calibri"/>
        <family val="2"/>
        <scheme val="minor"/>
      </rPr>
      <t>Realizar o calendário de 12 (doze) Reuniões Ordinárias (Comissões e Plenária)</t>
    </r>
    <r>
      <rPr>
        <sz val="20"/>
        <rFont val="Calibri"/>
        <family val="2"/>
        <scheme val="minor"/>
      </rPr>
      <t xml:space="preserve"> para o cumprimento de suas competências regimentais e o desenvolvimento de ações previstas no seu Plano de Trabalho e no Plano de Ação do CAU/MG. </t>
    </r>
  </si>
  <si>
    <r>
      <rPr>
        <b/>
        <sz val="20"/>
        <rFont val="Calibri"/>
        <family val="2"/>
        <scheme val="minor"/>
      </rPr>
      <t xml:space="preserve">Realizar o calendário de 12 (doze) Reuniões Ordinárias (Comissões e Plenária) </t>
    </r>
    <r>
      <rPr>
        <sz val="20"/>
        <rFont val="Calibri"/>
        <family val="2"/>
        <scheme val="minor"/>
      </rPr>
      <t xml:space="preserve">para o cumprimento de suas competências regimentais e o desenvolvimento de ações previstas no seu Plano de Trabalho e no Plano de Ação do CAU/MG. </t>
    </r>
  </si>
  <si>
    <r>
      <rPr>
        <b/>
        <sz val="20"/>
        <color theme="1"/>
        <rFont val="Calibri"/>
        <family val="2"/>
        <scheme val="minor"/>
      </rPr>
      <t>Realizar o calendário de dez Reuniões Ordinárias (Comissões)</t>
    </r>
    <r>
      <rPr>
        <sz val="20"/>
        <color theme="1"/>
        <rFont val="Calibri"/>
        <family val="2"/>
        <scheme val="minor"/>
      </rPr>
      <t xml:space="preserve"> para o cumprimento de suas competências regimentais e o desenvolvimento de ações previstas no seu Plano de Trabalho e no Plano de Ação do CAU/MG, prevendo datas para tratativas conjuntas com as demais Comissões Especiais. </t>
    </r>
  </si>
  <si>
    <r>
      <t xml:space="preserve">Custear o </t>
    </r>
    <r>
      <rPr>
        <b/>
        <sz val="20"/>
        <rFont val="Calibri"/>
        <family val="2"/>
        <scheme val="minor"/>
      </rPr>
      <t>auxílio de participação remota</t>
    </r>
    <r>
      <rPr>
        <sz val="20"/>
        <rFont val="Calibri"/>
        <family val="2"/>
        <scheme val="minor"/>
      </rPr>
      <t xml:space="preserve"> aos Conselheiros nas Reuniões Ordinárias das Comissões Especiais.</t>
    </r>
  </si>
  <si>
    <r>
      <t>Custear a participação da Presidente ou Vice-Presidente nas reuniões do</t>
    </r>
    <r>
      <rPr>
        <b/>
        <sz val="20"/>
        <rFont val="Calibri"/>
        <family val="2"/>
        <scheme val="minor"/>
      </rPr>
      <t xml:space="preserve"> Conselho Diretor.</t>
    </r>
  </si>
  <si>
    <r>
      <t>Custear a participação da Presidente, Vice-Presidente e Conselheira Federal em reuniões e eventos de interesse do CAU/MG</t>
    </r>
    <r>
      <rPr>
        <sz val="20"/>
        <rFont val="Calibri"/>
        <family val="2"/>
        <scheme val="minor"/>
      </rPr>
      <t>.</t>
    </r>
  </si>
  <si>
    <t>Despesas com ajuda de custo das agentes de fiscalização e hospedagens do Projeto Rotas.</t>
  </si>
  <si>
    <t>Despesas com combustíveis e Lubrificantes.</t>
  </si>
  <si>
    <t>Despesas com hospedagem de colaboradores eventuais (Motorista contratado para o Projeto Rotas).</t>
  </si>
  <si>
    <t>Despesas Fixas Mensais: Dati Gestão de Franquias R$ 330,00 - Instituto de Divulgação Treinamento e Assessoria em Licitações Ltda R$ 500,00 - Serviço de Postagem Correios em média R$ 1.800,00 - Despesas com serviço de táxi em média R$ 200,00</t>
  </si>
  <si>
    <t>Ajuda de Custo dos Servidores= R$ 1.920,50 mensais</t>
  </si>
  <si>
    <t>Ajuda de Custo dos Servidores = R$ 83,50</t>
  </si>
  <si>
    <t>Ajuda de Custo de Servidores = R$ 83,50</t>
  </si>
  <si>
    <t>Média de Utilização no período (janeiro a março) R$ 580,00- Valor do contrato anual R$ 80.000,00 conforme utilização</t>
  </si>
  <si>
    <t>Despesas com locação de veículo, contratação de motorista executivo, despesas com estacionamento, seguro e manutenção da Van do Projeto Rotas e despesas com lavagem dos veículos alugados e a Van .</t>
  </si>
  <si>
    <t xml:space="preserve">Valor mensal: R$ </t>
  </si>
  <si>
    <t>Contrato com Comercial Muzaminas- Lote 01 R$ 11.599,95 - Lote R$ 82.404,00</t>
  </si>
  <si>
    <t>Condomínio em média R$ 7.397,46- Aluguel 11º R$ 11.105,05- 9º Andar R$ 7.067,47 - Mastermaq R$ 673,50- Ita Instaladora R$ 852,00 - Imprensa Oficial estimado R$ 6.000,00 mensais- GA BH R$ 1.029,54- JS Serviços R$ 7360,61- Ocupacional Medicina do Trabalho R$ 453,30- Copysul R$ 3.920,83- CIEE R$ 1.400,00- Fachineli R$ 1.369,00- Ambiente Ar Condicionado R$ 480,00-  Sistema de Registro de Ponto R$ 1.370,96- TIM S/A R$ 1.200,00- Telefônica R$ 771,48- Menor Aprendiz CDL R$ 2.600,00- MJF R$ 2.483,33- Motoboy em média R$ 150,00- Telecomunicações Brasília R$ 275,00- Correios em média R$ 150,00 - Energia da Sede em média R$ 6.000,00- Backup Gmaes R$ 983,33- Serviço de SMS para Profissionais em média R$ 700,00 mensais- Transportes Urbanos em média R$ 50,00 mensais- Fundo Fixo em média R$ 750,00 mensais</t>
  </si>
  <si>
    <t>Valor mensal do Voip Contratado- Empresa IPCOM R$ 1.166,50</t>
  </si>
  <si>
    <t>Ajuda de Custo aos Servidores R$ 250,50 mensais- Viagens do Gerente de Planejamento R$ 5.000,00</t>
  </si>
  <si>
    <t>Despesas Fixas:  Estagiário da Geplan R$ 1.400,00- Transportes Urbanos R$ 50,00- Correios R$ 100,00</t>
  </si>
  <si>
    <t>Ajuda de Custo dos Servidores R$ 83,50</t>
  </si>
  <si>
    <t>Despesas Fixas: Robson Severino R$ 3179,29- Energia Elétrica em média R$ 300,00- Copysul Impressoras R$ 286,25- Serviço de Limpeza R$ 1.200,72- Telefonia em média R$ 340,00- Condomínios em média R$ 780,00- Internet Intermeio R$ 114,90- Correios em média RS 100,00</t>
  </si>
  <si>
    <t>Despesas Fixas: Condomínio R$ 606,64- Energia Elétrica em média R$ 170,00- Aluguel R$ 3.792,80- Copysul R$ 286,25- Serviço de Limpeza R$ 1.212,15- Telecomunicações e internet em média R$ 480,00- Correios em média R$ 500,00</t>
  </si>
  <si>
    <t>Despesas Fixas: Condomínio R$ 340,00- Energia Elétrica em média R$ 70,00- Aluguel R$ 1.449,88 Copysul R$ 286,25- Serviço de Limpeza R$ 1.368,45- Telecomunicações R$ 205,00  Correios em média R$ 300,00</t>
  </si>
  <si>
    <t>Ajuda de custo dos Servidores R$ 83,50</t>
  </si>
  <si>
    <t>Despesas Fixas: Energia Elétrica e água em média R$ 200,00- Aluguel R$ 2.329,70 Copysul R$ 286,25- Serviço de Limpeza R$ 1.253,68- Telecomunicações R$ 300,00 Correios em média R$ 800,00</t>
  </si>
  <si>
    <t>Despesas Fixas: Energia Elétrica  em média R$ 250,00- Aluguel R$ 2.510,00 Copysul R$ 284,16- Serviço de Limpeza R$ 1223,46- Telecomunicações R$ 500,00 em média-  Correios em média R$ 800,00- Internet R$ 119,90</t>
  </si>
  <si>
    <r>
      <rPr>
        <b/>
        <sz val="20"/>
        <rFont val="Calibri"/>
        <family val="2"/>
        <scheme val="minor"/>
      </rPr>
      <t>Realizar o calendário de três</t>
    </r>
    <r>
      <rPr>
        <b/>
        <sz val="20"/>
        <color rgb="FFFF0000"/>
        <rFont val="Calibri"/>
        <family val="2"/>
        <scheme val="minor"/>
      </rPr>
      <t xml:space="preserve"> </t>
    </r>
    <r>
      <rPr>
        <b/>
        <sz val="20"/>
        <rFont val="Calibri"/>
        <family val="2"/>
        <scheme val="minor"/>
      </rPr>
      <t>Reuniões Extraordinárias</t>
    </r>
    <r>
      <rPr>
        <sz val="20"/>
        <rFont val="Calibri"/>
        <family val="2"/>
        <scheme val="minor"/>
      </rPr>
      <t xml:space="preserve"> para a apreciação de demandas extraordinárias e planejamento de novas atividades. </t>
    </r>
  </si>
  <si>
    <r>
      <rPr>
        <b/>
        <sz val="20"/>
        <rFont val="Calibri"/>
        <family val="2"/>
        <scheme val="minor"/>
      </rPr>
      <t xml:space="preserve">Realizar o calendário de 12 (doze) Reuniões Ordinárias (Comissões e Plenária) </t>
    </r>
    <r>
      <rPr>
        <sz val="20"/>
        <rFont val="Calibri"/>
        <family val="2"/>
        <scheme val="minor"/>
      </rPr>
      <t xml:space="preserve">para o cumprimento de suas competências regimentais e o desenvolvimento de ações previstas no seu Plano de Trabalho e no Plano Estratégico do CAU/MG, tais como: instruir, apreciar e deliberar sobre julgamento, em primeira instância, de autuação lavrada em processos de fiscalização do exercício profissional, demandas técnicas encaminhadas à CEP, definir diretrizes de fiscalização e elaborar proposta de calendário Projeto Rotas, entre outras. </t>
    </r>
  </si>
  <si>
    <r>
      <rPr>
        <b/>
        <sz val="20"/>
        <rFont val="Calibri"/>
        <family val="2"/>
        <scheme val="minor"/>
      </rPr>
      <t>Realizar o calendário de 3 (Três) Reuniões Extraordinárias</t>
    </r>
    <r>
      <rPr>
        <sz val="20"/>
        <rFont val="Calibri"/>
        <family val="2"/>
        <scheme val="minor"/>
      </rPr>
      <t xml:space="preserve"> para a apreciação de demandas extraordinárias e planejamento de novas atividades. </t>
    </r>
  </si>
  <si>
    <r>
      <rPr>
        <b/>
        <sz val="20"/>
        <rFont val="Calibri"/>
        <family val="2"/>
        <scheme val="minor"/>
      </rPr>
      <t>Realizar o calendário de</t>
    </r>
    <r>
      <rPr>
        <b/>
        <sz val="20"/>
        <color rgb="FFFF0000"/>
        <rFont val="Calibri"/>
        <family val="2"/>
        <scheme val="minor"/>
      </rPr>
      <t xml:space="preserve"> </t>
    </r>
    <r>
      <rPr>
        <b/>
        <sz val="20"/>
        <rFont val="Calibri"/>
        <family val="2"/>
        <scheme val="minor"/>
      </rPr>
      <t xml:space="preserve">6 (seis) Reuniões Extraordinárias </t>
    </r>
    <r>
      <rPr>
        <sz val="20"/>
        <rFont val="Calibri"/>
        <family val="2"/>
        <scheme val="minor"/>
      </rPr>
      <t xml:space="preserve">para a apreciação de demandas extraordinárias e planejamento de novas atividades. </t>
    </r>
  </si>
  <si>
    <t>Despesas relacionadas ao 38º Fórum de Presidentes realizado na Sede do CAU/MG no mês de abril.</t>
  </si>
  <si>
    <t>AÇÃO 1.3.03 - DESENVOLVIMENTO DO PROGRAMA CAU JOVEM</t>
  </si>
  <si>
    <t>AÇÃO 1.3.04 - CAU NAS ESCOLAS 2024</t>
  </si>
  <si>
    <t>AÇÃO 1.3.07 - PARTICIPAÇÃO NAS DISCUSSÕES DA IMPLEMENTAÇÃO DA DCN</t>
  </si>
  <si>
    <t>AÇÃO 1.4.09 - PRÊMIO TCC 2024</t>
  </si>
  <si>
    <t>AÇÃO 3.2.09 - APROXIMAÇÃO COM A ABEA PARA IMPLEMENTAÇÃO DAS NOVAS DCN - PARTICIPAÇÃO NO ENSEA</t>
  </si>
  <si>
    <t>APROXIMAÇÃO DO CAU/MG DAS IES E, PRINCIPALMENTE DOS RECÉM-FORMADOS, PARA QUE POSSUAM CONHECIMENTO DE SEUS DIREITOS E DEVERES PERANTE O CAU. REALIZAÇÃO DE:
    - AULA-MAGNA;
    - AULA PARA CALOUROS;
    - CERIMÔNIA DA TRENA;
    - VÍDEO DA PRESIDENTE;
    - DESTAQUE ACADÊMICO.
    - COLAÇÃO DE GRAU</t>
  </si>
  <si>
    <t xml:space="preserve">PARTICIPAÇÃO DAS ARTICULAÇÕES, ENCABEÇADAS PELO CAU/BR, JUNTO AO CES-CNE/MEC, PARA HOMOLOGAÇÃO E PUBLICAÇÃO DAS NOVAS DCN </t>
  </si>
  <si>
    <t>AÇÃO 1.2.04 - CED-CAU/MG VISITA</t>
  </si>
  <si>
    <t>AÇÃO 3.2.12 - PARTICIPAÇÃO EM DEBATES DA CEP-CAU/BR E CEP-CAU/UFS</t>
  </si>
  <si>
    <t>PARTICIPAÇÃO EM EVENTOS DA CEP-CAU/BR E CEP-CAU/UFs CONFORME DELIBERAÇÃO CEP-CAU/BR Nº 001/2024 E DELIBERAÇÕES POSTERIORES, REPRESENTAÇÃO DE DOIS CONSELHEIROS DA COMISSÃO POR EVENTO. PREVISÃO DE APROXIMADAMENTE 5 EVENTOS ANUAIS, TOTALIZANDO 15 EVENTOS NO TRIÊNIO. DEBATES SOBRE O APERFEIÇOAMENTO DA RESOLUÇÃO Nº 91/2024, RRT, SICCAU, FISCALIZAÇÃO, ENTRE OUTROS.</t>
  </si>
  <si>
    <t>AÇÃO 1.5.04 - ESPAÇOS ACESSÍVEIS AOS PROFISSIONAIS - COWORKING</t>
  </si>
  <si>
    <t>AÇÃO 5.4.06 - REVISÃO DO REGIMENTO INTERNO</t>
  </si>
  <si>
    <t>AÇÃO 1.2.01 - AMPLIAR CONVÊNIOS COM PREFEITURAS</t>
  </si>
  <si>
    <t>AÇÃO 1.2.02 - PROPOR E ACOMPANHAR PARCERIAS COM INSTITUIÇÕES PÚBLICAS E PRIVADAS.</t>
  </si>
  <si>
    <t>AÇÃO 1.3.01 - REUNIÕES CONJUNTAS COM AS COMISSÕES ESPECIAIS E REPRESENTANTES DE CONSELHOS</t>
  </si>
  <si>
    <t>AÇÃO 3.2.02 - ARTICULAÇÃO COM A CPUA-CAU/BR E CPUAS DOS OUTROS CAU/UF RELACIONADAS A POLÍTICAS URBANAS</t>
  </si>
  <si>
    <t>AÇÃO 3.2.03 - PARTICIPAÇÃO EM EVENTOS</t>
  </si>
  <si>
    <t>PROMOVER PARCERIAS COM INSTITUIÇÕES PÚBLICAS E PRIVADAS COMO GOVERNO DE MINAS, MPMG, AMM, OAB, SEBRAE, FAPEMIG, ÓRGÃOS MUNICIPAIS DENTRE OUTRAS.</t>
  </si>
  <si>
    <t>AÇÃO 1.2.08 - ARTICULAÇÃO INTERINSTITUCIONAL COM A FINALIDADE DE IMPLEMENTAÇÃO DA ATHIS COMO POLÍTICA PÚBLICA LOCAL NOS MUNICÍPIOS MINEIROS, ESTADO DE MINAS GERAIS E UNIÃO</t>
  </si>
  <si>
    <t>AÇÃO 1.2.09 - PROPOSTA DE FRENTE PARLAMENTAR ALMG</t>
  </si>
  <si>
    <t>AÇÃO 1.3.02 - REUNIÕES CONJUNTAS COM AS COMISSÕES E REPRESENTANTES DE CONSELHOS</t>
  </si>
  <si>
    <t>AÇÃO 1.4.08 - "RESIDÊNCIA PROFISSIONAL" EM ATHIS</t>
  </si>
  <si>
    <t>AÇÃO 3.2.06 - ARTICULAÇÃO DE AÇÕES EM REDE COM A CPP-CAU/BR E CATHIS DOS OUTROS CAU/UF RELACIONADAS A POLÍTICA DE ATHIS</t>
  </si>
  <si>
    <t>AÇÃO 3.2.07 - PARTICIPAÇÃO EM EVENTOS DE CAPACITAÇÃO</t>
  </si>
  <si>
    <t>AÇÃO 1.2.11 - AÇÃO EM PARCERIA COM O MINISTÉRIO PÚBLICO, OAB, IEPHA E IPHAN E SECRETARIAS DE PATRIMÔNIO MUNICIPAL</t>
  </si>
  <si>
    <t>AÇÃO 1.3.08 - REUNIÕES CONJUNTAS COM AS COMISSÕES E COM REPRESENTANTES DE CONSELHOS</t>
  </si>
  <si>
    <t>AÇÃO 1.3.09 - PARTICIPAÇÃO EFETIVA DOS ARQUITETOS E URBANISTAS NOS CONSELHOS DE PATRIMÔNIO MUNICIPAIS E ESTADUAL</t>
  </si>
  <si>
    <t>AÇÃO 1.4.14 - INCENTIVO DE TCCS RELACIONADOS COM O TEMA DE PATRIMÔNIO CULTURAL</t>
  </si>
  <si>
    <t>AÇÃO 3.2.11 - PARTICIPAÇÃO DA CPC EM EVENTOS SOBRE PATRIMÔNIO</t>
  </si>
  <si>
    <t>AÇÃO 1.4.05 - ATUAÇÃO NO PROCESSO DE APROVAÇÃO IPHAN E IEPHA</t>
  </si>
  <si>
    <t>AÇÃO 1.5.01 - ATENDIMENTO DE DEMANDAS PROFISSIONAIS</t>
  </si>
  <si>
    <t>AÇÃO 4.2.02 - PARTICIPAÇÃO DE COLABORADOR(ES) NA CONFERÊNCIA NACIONAL DO SECRETARIADO (CONASEC)</t>
  </si>
  <si>
    <t>AÇÃO 4.2.03 - CAPACITAÇÃO INTRODUTÓRIA AOS PROCEDIMENTOS DA CED-CAU/MG</t>
  </si>
  <si>
    <t>AÇÃO 4.2.06 - SEMANA DE INTEGRAÇÃO GERENTES FINANCEIROS, CONTADORES E TÉCNICOS</t>
  </si>
  <si>
    <t>AÇÃO 4.2.07 - RECICLAGEM IMPLANTA INFORMÁTICA</t>
  </si>
  <si>
    <t>AÇÃO 4.2.10 - CAPACITAÇÃO COM A EQUIPE GERTEF</t>
  </si>
  <si>
    <t>PARTICIPAÇÃO DE COLABORADOR(ES) NA CONFERÊNCIA NACIONAL DO SECRETARIADO (CONASEC)  2024</t>
  </si>
  <si>
    <t>PRODUÇÃO DE TREINAMENTO E GUIA DIDÁTICO DOS PROCEDIMENTOS DOS PROCESSOS ÉTICO-DISCIPLINARES, CONSIDERANDO A ROTATIVIDADE ANUAL DE CONSELHEIROS.</t>
  </si>
  <si>
    <t>ORGANIZAR EM BELO HORIZONTE, AUXILIAR NA ORGANIZAÇÃO OU PARTICIPAR DE EVENTO DE DEBATE EM ASSUNTOS FINANCEIROS E CONTÁBEIS DO SISTEMA.</t>
  </si>
  <si>
    <t>PARTICIPAR DE PROGRAMA DE RECICLAGEM E DE APRIMORAMENTO DA UTILIZAÇÃO DE MÓDULOS IMPLANTA INFORMÁTICA COM VISTAS A POTENCIALIZAR O USO INTERNO.</t>
  </si>
  <si>
    <t>AÇÃO 1.1.01 - CAU NA OBRA</t>
  </si>
  <si>
    <t xml:space="preserve">PROJETO SIMILAR AO PROJETO RECENSEADOR DE OBRAS CAU/SC, REALIZAR EDITAL DE CREDENCIAMENTO DE ARQUITETOS E URBANISTAS COM REGISTRO ATIVO JUNTO AO CAU/MG OU ESTUDANTES DE ARQUITETURA PARA ATUAREM NA COLETA DE DADOS DE OBRAS EM SUAS CIDADES OU CIDADES VIZINHAS. PROPÕE-SE A CONTRATAÇÃO DE SERVIÇO DE LEVANTAMENTO DE DADOS DE OBRAS POR DEMANDA, A SEREM PRESTADOS POR PESSOAS FÍSICAS CREDENCIADAS E TREINADAS PELO CAU/MG, SEM VÍNCULO EMPREGATÍCIO DE QUALQUER NATUREZA. </t>
  </si>
  <si>
    <t>AÇÃO 5.4.01 - CONTRATAÇÃO ZÊNITE FÁCIL</t>
  </si>
  <si>
    <t>CONTRATAÇÃO DE SERVIÇO DE INFORMAÇÃO E CONSULTORIA EM CONTRATAÇÕES PÚBLICAS, COM ORIENTAÇÕES, DOUTRINAS, JURISPRUDÊNCIAS, DECISÕES DE TRIBUNAIS DE CONTAS, ANOTAÇÕES E DEMAIS FORMAS DE CONTEÚDO.</t>
  </si>
  <si>
    <t>AÇÃO 2.3.10 - PAINEL BI - GAF</t>
  </si>
  <si>
    <t>AÇÃO 4.1.02 - DESENVOLVER PROGRAMA ANUAL DO DECENÁRIO DE ENGAJAMENTO PARA COLABORADORES</t>
  </si>
  <si>
    <t>AÇÃO 4.1.03 - PROGRAMA MEMÓRIAS CAU MG</t>
  </si>
  <si>
    <t>DESENVOLVER DASHBOARD PARA UTILIZAÇÃO INTERNA E TAMBÉM PUBLICAÇÃO NO PORTAL DA TRANSPARÊNCIA COM APRESENTAÇÃO GRÁFICA EVOLUÍDA DE INFORMAÇÕES FINANCEIRAS, PATRIMONIAIS, ORÇAMENTÁRIAS, DE RH, COMPRAS E CONTRATOS E DE COBRANÇA DO CAU MG.</t>
  </si>
  <si>
    <t>INSTITUIR SESSÃO SOLENE DE ENTREGA DE COMENDA SIMPLES PARA OS COLABORADORES QUE ESTÃO COMPLETANDO E JÁ COMPLETARAM 10 ANOS DE EFETIVO TRABALHO PELO CAU/MG</t>
  </si>
  <si>
    <t>AÇÃO 5.2.03 - AMPLIAÇÃO DOS ESCRITÓRIOS DESCENTRALIZADOS</t>
  </si>
  <si>
    <t>REVISÃO DO REGIMENTO INTERNO DO CAU/MG CONSIDERANDO OS APONTAMENTOS FEITOS PELO CAU/BR, O REGIMENTO GERAL DOS CAU/UF E A DESVINCULAÇÃO DO ORGANOGRAMA DO REGIMENTO INTERNO. CONSIDERAR REALIZAÇÃO DE REUNIÕES EXTRAORDINÁRIAS REMOTAS.</t>
  </si>
  <si>
    <t xml:space="preserve">CONSIDERANDO OS PONTOS DE INTERSEÇAO ENTRE AS COMISSÕES VISANDO POTENCIALIZAR A CAPTAÇÃO DE RECURSOS E A PROMOÇÃO DE EDITAIS E PARCERIAS EM CONCURSO. PARTICIPAÇÃO CONJUNTA COM AS COMISSÕES ESPECIAIS (CPC-CAU/MG, CPUA-CAU/MG E CATHIS-CAU/MG) NAS PRÓXIMAS REUNIÕES COM OS REPRESENTANTES DOS CONSELHOS, NOS TEMAS PERTINENTES A ESSAS COMISSÕES, DE FORMA A GARANTIR UMA APROXIMAÇÃO E PARTICIPAÇÃO MAIS EFETIVA DO CAU/MG. </t>
  </si>
  <si>
    <r>
      <t>GARANTIR A PARTICIPAÇÃO DOS ARQUITETOS E URBANISTAS NO PLANEJAMENTO TERRITORIAL E NA GESTÃO URBANA E ELENCAR PROJETOS DE LEI ESTADUAIS PARA A ATUAÇÃO DO CAU/MG REFERENTE À HABITAÇÃO DE INTERESSE SOCIAL.</t>
    </r>
    <r>
      <rPr>
        <sz val="20"/>
        <color rgb="FFFF0000"/>
        <rFont val="Calibri"/>
        <family val="2"/>
        <scheme val="minor"/>
      </rPr>
      <t xml:space="preserve"> RECLASSIFICAÇÃO NO CENTRO DE CUSTOS DA CHEFIA DE GABINETE.</t>
    </r>
  </si>
  <si>
    <t>INSTITUIR PROGRAMA QUE REMONTA PASSAGENS DA VIDA LABORAL DE COLABORADORES, CONSELHEIROS, PRESIDENTES E COLABORADORES EM SITUAÇÕES VIVENCIADAS NA HISTÓRIA DA INSTITUIÇÃO.</t>
  </si>
  <si>
    <t>Manter e Desenvolver as Atividades dos Escritórios Novos</t>
  </si>
  <si>
    <t>AÇÃO 3.1.11 - CURSO JORNADA INFRAESTRUTURA VERDE</t>
  </si>
  <si>
    <t>CRIAÇÃO DE PROGRAMA DE INTERAÇÃO DE ESTUDANTES (FUNDAMENTAL, MÉDIO E SUPERIOR), EM DIFERENTES FASES DA VIDA EDUCACIONAL. COM REALIZAÇÃO DE CURSOS,  APRESENTAÇÃO O CONSELHO, MENCIONAR RESULTADOS DE TRABALHOS.
IMPLANTAÇÃO DE PROGRAMA DE EDUCAÇÃO URBANÍSTICA E AMBIENTAL NO ENSINO FUNDAMENTAL (CAU EDUCA).</t>
  </si>
  <si>
    <r>
      <rPr>
        <b/>
        <sz val="20"/>
        <rFont val="Calibri"/>
        <family val="2"/>
        <scheme val="minor"/>
      </rPr>
      <t>Realizar o calendário de dez Reuniões Extraordinárias</t>
    </r>
    <r>
      <rPr>
        <sz val="20"/>
        <rFont val="Calibri"/>
        <family val="2"/>
        <scheme val="minor"/>
      </rPr>
      <t xml:space="preserve"> para a apreciação de demandas extraordinárias e planejamento de novas atividades. </t>
    </r>
  </si>
  <si>
    <r>
      <t xml:space="preserve">PARTICIPAÇÃO DE EVENTOS E SEMINÁRIOS PROMOVIDAS PELO CAU/BR E CAUS/UF, CONTRIBUINDO COM SUGESTÕES PARA O APRIMORAMENTO DA AÇÕES RELACIONADAS A POLÍTICAS URBANAS E AMBIENTAIS. </t>
    </r>
    <r>
      <rPr>
        <sz val="20"/>
        <color rgb="FFFF0000"/>
        <rFont val="Calibri"/>
        <family val="2"/>
        <scheme val="minor"/>
      </rPr>
      <t>CADA COMISSÃO JÁ POSSUI VERBA DE R$ 10.000,00 PARA CUSTEAR A PARTICIPAÇÃO EM EVENTOS.</t>
    </r>
  </si>
  <si>
    <r>
      <t xml:space="preserve">PARTICIPAR DE EVENTOS DE TEMAS RELEVANTES À COMISSÃO VISANDO CAPACITAR OS CONSELHEIROS PARA ELABORAÇÃO E APRIMORAMENTO DAS AÇÕES APLICÁVEIS AO DESENVOLVIMENTO DE POLÍTICAS URBANAS E AMBIENTAIS NOS MÚNICÍPIOS E NO ESTADO DE MINAS GERAIS. </t>
    </r>
    <r>
      <rPr>
        <sz val="20"/>
        <color rgb="FFFF0000"/>
        <rFont val="Calibri"/>
        <family val="2"/>
        <scheme val="minor"/>
      </rPr>
      <t>RECLASSIFICAÇÃO NO CENTRO DE CUSTOS DE CAPACITAÇÕES</t>
    </r>
  </si>
  <si>
    <r>
      <t xml:space="preserve">AÇÃO SOBRE O INVENTÁRIO E TOMBAMENTO, EM PARCERIA COM A OAB E MINISTÉRIO PÚBLICO E DEMAIS ÓRGÃOS, POR MEIO DE ELABORAÇÃO DE DOCUMENTOS, E  EVENTOS. PARCERIA COM ESSAS INSTITUIÇÕES. DISCUSSÃO SOBRE MEDIDAS COMPENSATÓRIAS DE EIV E LICENCIAMENTO AMBIENTAL QUE PODERIAM ENVOLVER A PROTEÇÃO DO PATRIMÔNIO CULTURAL. ESSAS MEDIDAS DEVERÃO SER PROMOVIDAS COM MUDANÇA NA LEGISLAÇÃO. ASSIM EMPREENDIMENTOS DE IMPACTO, POR EXEMPLO, COMO MEDIDA COMPENSATÓRIA, PODERIAM DESTINAR VERBAS PARA INVESTIMENTO EM ALGUM BEM TOMBADO QUE ESTEJA NECESSITANDO DE RESTAURAÇÃO. </t>
    </r>
    <r>
      <rPr>
        <sz val="20"/>
        <color rgb="FFFF0000"/>
        <rFont val="Calibri"/>
        <family val="2"/>
        <scheme val="minor"/>
      </rPr>
      <t>RECLASSIFICAÇÃO NO CENTRO DE CUSTOS DA CHEFIA DE GABINETE.</t>
    </r>
  </si>
  <si>
    <r>
      <t xml:space="preserve">AMPLIAR A REPRESENTAÇÃO E INDICAR REPRESENTANTES DO CAU/MG PARA OS CONSELHOS DE PATRIMÔNIO CULTURAL NO ESTADO DE MINAS GERAIS. </t>
    </r>
    <r>
      <rPr>
        <sz val="20"/>
        <color rgb="FFFF0000"/>
        <rFont val="Calibri"/>
        <family val="2"/>
        <scheme val="minor"/>
      </rPr>
      <t>RECLASSIFICAÇÃO NO CENTRO DE CUSTOS DE REPRESENTAÇÃO INSTITUCIONAL.</t>
    </r>
  </si>
  <si>
    <r>
      <t>PARTICIPAÇÃO DA CPC EM EVENTOS SOBRE PATRIMÔNIO, COMO NO EVENTO EM MATIAS CARDOSO, EM DEZEMBRO.</t>
    </r>
    <r>
      <rPr>
        <sz val="20"/>
        <color rgb="FFFF0000"/>
        <rFont val="Calibri"/>
        <family val="2"/>
        <scheme val="minor"/>
      </rPr>
      <t xml:space="preserve"> CADA COMISSÃO JÁ POSSUI VERBA DE R$ 10.000,00 PARA CUSTEAR A PARTICIPAÇÃO EM EVENTOS.</t>
    </r>
  </si>
  <si>
    <t>AÇÃO 3.1.02 - PARTICIPAÇÃO DO CAU/MG NO CIRCUITO URBANO DO PROGRAMA DAS NAÇÕES UNIDAS PARA OS ASSENTAMENTOS HUMANOS (ONU-HABITAT).</t>
  </si>
  <si>
    <t>AÇÃO 3.1.05 - ARQ+: IMPULSIONANDO A ARQUITETURA E URBANISMO EM MINAS GERAIS</t>
  </si>
  <si>
    <t>AÇÃO 3.1.09 - ELABORAR PROPOSTA DE UM SEMINÁRIO ENTRE A CPFI-CAU/BR E AS CPFI-CAU/UF'S A FIM DE OTIMIZAR PROCEDIMENTOS E A EFICIÊNCIA DAS CPFIS</t>
  </si>
  <si>
    <t>AÇÃO 3.1.10 - CED-CAU/MG NO INTERIOR</t>
  </si>
  <si>
    <t>AÇÃO 3.1.12 - EVENTOS DE CAPACITAÇÃO NAS PREFEITURAS, CONFORME PROJ. ROTAS</t>
  </si>
  <si>
    <t>AÇÃO 3.1.13 - SEMINÁRIO ATHIS EXPERIÊNCIA DOS EDITAIS</t>
  </si>
  <si>
    <t>AÇÃO 3.1.14 - SEMINÁRIO CONJUNTO DAS COMISSÕES ESPECIAIS - ONU-HABITAT</t>
  </si>
  <si>
    <t>AÇÃO 3.1.15 - FÓRUM DE COORDENADORES 2024</t>
  </si>
  <si>
    <t>AÇÃO 3.1.18 - SEMINÁRIO NACIONAL DE ENSINO E FORMAÇÃO 2024</t>
  </si>
  <si>
    <t>AÇÃO 3.1.22 - SEMINÁRIOS DE EDUCAÇÃO PATRIMONIAL</t>
  </si>
  <si>
    <t>AÇÃO 3.1.23 - SEMINÁRIOS CONJUNTOS DAS COMISSÕES ESPECIAIS - ONU HABITAT</t>
  </si>
  <si>
    <t>Renovação do Contrato de Publicidade em julho/2024 R$ 500.000,00 e utilização dos meses de maio e junho R$ 56.234,25</t>
  </si>
  <si>
    <t>Publicação sobre a importância da Arquitetura e Urbanismo. (GERGEL)</t>
  </si>
  <si>
    <t>Manter e Desenvolver as Atividades do Conselho Diretor</t>
  </si>
  <si>
    <r>
      <t>Custear a participação do Coordenador (a) da Comissão de Organização e Administração nas reuniões</t>
    </r>
    <r>
      <rPr>
        <b/>
        <sz val="20"/>
        <rFont val="Calibri"/>
        <family val="2"/>
        <scheme val="minor"/>
      </rPr>
      <t xml:space="preserve"> do Conselho Diretor</t>
    </r>
  </si>
  <si>
    <r>
      <t>Custear a participação do Coordenador (a) da Comissão de</t>
    </r>
    <r>
      <rPr>
        <b/>
        <sz val="20"/>
        <rFont val="Calibri"/>
        <family val="2"/>
        <scheme val="minor"/>
      </rPr>
      <t xml:space="preserve"> Ensino e Formação </t>
    </r>
    <r>
      <rPr>
        <sz val="20"/>
        <rFont val="Calibri"/>
        <family val="2"/>
        <scheme val="minor"/>
      </rPr>
      <t>nas reuniões</t>
    </r>
    <r>
      <rPr>
        <b/>
        <sz val="20"/>
        <rFont val="Calibri"/>
        <family val="2"/>
        <scheme val="minor"/>
      </rPr>
      <t xml:space="preserve"> do Conselho Diretor</t>
    </r>
    <r>
      <rPr>
        <sz val="20"/>
        <rFont val="Calibri"/>
        <family val="2"/>
        <scheme val="minor"/>
      </rPr>
      <t>.</t>
    </r>
  </si>
  <si>
    <r>
      <t xml:space="preserve">Custear a participação do Coordenador (a) da Comissão de </t>
    </r>
    <r>
      <rPr>
        <b/>
        <sz val="20"/>
        <rFont val="Calibri"/>
        <family val="2"/>
        <scheme val="minor"/>
      </rPr>
      <t xml:space="preserve">Exercício Profissional </t>
    </r>
    <r>
      <rPr>
        <sz val="20"/>
        <rFont val="Calibri"/>
        <family val="2"/>
        <scheme val="minor"/>
      </rPr>
      <t>nas reuniões</t>
    </r>
    <r>
      <rPr>
        <b/>
        <sz val="20"/>
        <rFont val="Calibri"/>
        <family val="2"/>
        <scheme val="minor"/>
      </rPr>
      <t xml:space="preserve"> do Conselho Diretor</t>
    </r>
    <r>
      <rPr>
        <sz val="20"/>
        <rFont val="Calibri"/>
        <family val="2"/>
        <scheme val="minor"/>
      </rPr>
      <t>.</t>
    </r>
  </si>
  <si>
    <r>
      <t xml:space="preserve">Custear a participação do Coordenador (a) da Comissão de </t>
    </r>
    <r>
      <rPr>
        <b/>
        <sz val="20"/>
        <rFont val="Calibri"/>
        <family val="2"/>
        <scheme val="minor"/>
      </rPr>
      <t>Ética e Disciplina</t>
    </r>
    <r>
      <rPr>
        <sz val="20"/>
        <rFont val="Calibri"/>
        <family val="2"/>
        <scheme val="minor"/>
      </rPr>
      <t xml:space="preserve"> nas reuniões</t>
    </r>
    <r>
      <rPr>
        <b/>
        <sz val="20"/>
        <rFont val="Calibri"/>
        <family val="2"/>
        <scheme val="minor"/>
      </rPr>
      <t xml:space="preserve"> do Conselho Diretor</t>
    </r>
    <r>
      <rPr>
        <sz val="20"/>
        <rFont val="Calibri"/>
        <family val="2"/>
        <scheme val="minor"/>
      </rPr>
      <t>.</t>
    </r>
  </si>
  <si>
    <r>
      <t xml:space="preserve">Custear a participação do Coordenador (a) da Comissão de </t>
    </r>
    <r>
      <rPr>
        <b/>
        <sz val="20"/>
        <rFont val="Calibri"/>
        <family val="2"/>
        <scheme val="minor"/>
      </rPr>
      <t>Planejamento e Finanças</t>
    </r>
    <r>
      <rPr>
        <sz val="20"/>
        <rFont val="Calibri"/>
        <family val="2"/>
        <scheme val="minor"/>
      </rPr>
      <t xml:space="preserve"> nas reuniões</t>
    </r>
    <r>
      <rPr>
        <b/>
        <sz val="20"/>
        <rFont val="Calibri"/>
        <family val="2"/>
        <scheme val="minor"/>
      </rPr>
      <t xml:space="preserve"> do Conselho Diretor</t>
    </r>
    <r>
      <rPr>
        <sz val="20"/>
        <rFont val="Calibri"/>
        <family val="2"/>
        <scheme val="minor"/>
      </rPr>
      <t>.</t>
    </r>
  </si>
  <si>
    <r>
      <t xml:space="preserve">Custear a participação do Coordenador (a) da Comissão de </t>
    </r>
    <r>
      <rPr>
        <b/>
        <sz val="20"/>
        <rFont val="Calibri"/>
        <family val="2"/>
        <scheme val="minor"/>
      </rPr>
      <t>Organização e Administração</t>
    </r>
    <r>
      <rPr>
        <sz val="20"/>
        <rFont val="Calibri"/>
        <family val="2"/>
        <scheme val="minor"/>
      </rPr>
      <t xml:space="preserve"> nas reuniões</t>
    </r>
    <r>
      <rPr>
        <b/>
        <sz val="20"/>
        <rFont val="Calibri"/>
        <family val="2"/>
        <scheme val="minor"/>
      </rPr>
      <t xml:space="preserve"> do Conselho Diretor</t>
    </r>
    <r>
      <rPr>
        <sz val="20"/>
        <rFont val="Calibri"/>
        <family val="2"/>
        <scheme val="minor"/>
      </rPr>
      <t>.</t>
    </r>
  </si>
  <si>
    <t>Manter e Desenvolver as Atividades da Secretaria do Plenário e Órgãos Colegiados</t>
  </si>
  <si>
    <t>Manter e Desenvolver as Atividades da Assessoria de Imprensa</t>
  </si>
  <si>
    <t>Manter e Desenvolver as Atividades da Assessoria Técnica</t>
  </si>
  <si>
    <t>Manter e Desenvolver as Atividades da Gerência de Fiscalização</t>
  </si>
  <si>
    <t>Manter e Desenvolver as Atividades da Gerência Técnica</t>
  </si>
  <si>
    <t>Comissão Temporária de Comunicação do CAU/MG</t>
  </si>
  <si>
    <t>Comissão Temporária de Apoio Técnico ao Profissional do CAU/MG</t>
  </si>
  <si>
    <t>Instituir e realizar o calendário de oito reuniões de Comissões Temporárias para que cumpram a finalidade regimental de atender demandas específicas de caráter temporário, tais como temas específicos da profissão, sindicâncias, desagravo público, auditorias, inquéritos, tomada de contas especial e processos administrativos, dentre outros.</t>
  </si>
  <si>
    <r>
      <t xml:space="preserve">ATUAÇÃO NO PROCESSO DE APROVAÇÃO DO IPHAN E IEPHA, ENVOLVENDO A ORIENTAÇÃO DE POSICIONAMENTO EM RELAÇÃO A PRÁTICA PROFISSIONAL. PODERÁ SER DISCUTIDA PARA SER APRESENTADA JUNTAMENTE COM OS EVENTOS DA CPC. </t>
    </r>
    <r>
      <rPr>
        <sz val="20"/>
        <color rgb="FFFF0000"/>
        <rFont val="Calibri"/>
        <family val="2"/>
        <scheme val="minor"/>
      </rPr>
      <t>SALDO INCLUÍDO NA LINHA DA COMISSÃO TEMPORÁRIA DE APOIO TÉCNICO AO PROFISSIONAL.</t>
    </r>
  </si>
  <si>
    <r>
      <t xml:space="preserve">ATENDIMENTO DE DEMANDAS PROFISSIONAIS, POR MEIO DE ELABORAÇÃO DE RELATÓRIO E VOTO PELO MEMBRO INTEGRANTE DESIGNADO, ANÁLISE E APROVAÇÃO PELA COMISSÃO E ELABORAÇÃO DE PROPOSTA DE ENCAMINHAMENTO (ENVOLVENDO, POR EXEMPLO, ELABORAÇÕES DE OFÍCIOS, ENCAMINHAMENTO PARA OUTRAS COMISSÕES PERTINENTES, SOLICITAÇÕES DE REUNIÕES COM SECRETARIAS, INDICAÇÃO DE CANAIS EM QUE O REQUERENTE POSSA RECORRER, ETC.) </t>
    </r>
    <r>
      <rPr>
        <sz val="20"/>
        <color rgb="FFFF0000"/>
        <rFont val="Calibri"/>
        <family val="2"/>
        <scheme val="minor"/>
      </rPr>
      <t>SALDO INCLUÍDO NA LINHA DA COMISSÃO TEMPORÁRIA DE APOIO TÉCNICO AO PROFISSIONAL.</t>
    </r>
  </si>
  <si>
    <t>Manter e Desenvolver as Atividades da Gerência Administrativa</t>
  </si>
  <si>
    <t>Manter e Desenvolver as Atividades da Gerência Financeira</t>
  </si>
  <si>
    <t>Capacitações GAF</t>
  </si>
  <si>
    <t>Manter e Desenvolver as Atividades da Gerência Administrativa Financeira</t>
  </si>
  <si>
    <t>AUTOMATIZAÇÃO NO JULGAMENTO DOS PROCESSOS DE FISCALIZAÇÃO, BUSCA POR FERRAMENTAS DE MELHORIA PARA O APERFEIÇOAMENTO NO JULGAMENTO DE PROCESSOS DE FISCALIZAÇÃO.</t>
  </si>
  <si>
    <t xml:space="preserve">AÇÃO 1.04 </t>
  </si>
  <si>
    <r>
      <rPr>
        <b/>
        <sz val="20"/>
        <rFont val="Calibri"/>
        <family val="2"/>
        <scheme val="minor"/>
      </rPr>
      <t>Realizar o calendário Reuniões Híbridas</t>
    </r>
    <r>
      <rPr>
        <sz val="20"/>
        <rFont val="Calibri"/>
        <family val="2"/>
        <scheme val="minor"/>
      </rPr>
      <t xml:space="preserve"> para a apreciação de demandas e planejamento das atividades da Comissão. </t>
    </r>
  </si>
  <si>
    <r>
      <rPr>
        <b/>
        <sz val="20"/>
        <rFont val="Calibri"/>
        <family val="2"/>
        <scheme val="minor"/>
      </rPr>
      <t>Realizar o calendário de</t>
    </r>
    <r>
      <rPr>
        <b/>
        <sz val="20"/>
        <color rgb="FFFF0000"/>
        <rFont val="Calibri"/>
        <family val="2"/>
        <scheme val="minor"/>
      </rPr>
      <t xml:space="preserve"> </t>
    </r>
    <r>
      <rPr>
        <b/>
        <sz val="20"/>
        <rFont val="Calibri"/>
        <family val="2"/>
        <scheme val="minor"/>
      </rPr>
      <t xml:space="preserve">três Reuniões Híbridas </t>
    </r>
    <r>
      <rPr>
        <sz val="20"/>
        <rFont val="Calibri"/>
        <family val="2"/>
        <scheme val="minor"/>
      </rPr>
      <t xml:space="preserve">para a apreciação de demandas extraordinárias e planejamento de novas atividades. </t>
    </r>
  </si>
  <si>
    <t>Casa Cor R$ 40.000,00  ICOMOS R$ 30.000,00 Dia do Síndico R$ 10.000,00</t>
  </si>
  <si>
    <r>
      <t>Custear a participação do Coordenador(a) da Comissão nas reuniões do</t>
    </r>
    <r>
      <rPr>
        <b/>
        <sz val="20"/>
        <rFont val="Calibri"/>
        <family val="2"/>
        <scheme val="minor"/>
      </rPr>
      <t xml:space="preserve"> Conselho Diretor- </t>
    </r>
    <r>
      <rPr>
        <sz val="20"/>
        <color rgb="FFFF0000"/>
        <rFont val="Calibri"/>
        <family val="2"/>
        <scheme val="minor"/>
      </rPr>
      <t xml:space="preserve"> RECLASSIFICAÇÃO NO CENTRO DE CUSTOS DO CONSELHO DIRETOR</t>
    </r>
  </si>
  <si>
    <t>PARTICIPAÇÃO CONJUNTA COM AS COMISSÕES ESPECIAIS (CPC-CAU/MG, CPUA-CAU/MG E CATHIS-CAU/MG) NAS PRÓXIMAS REUNIÕES COM OS REPRESENTANTES DOS CONSELHOS NOS TEMAS PERTINENTES A ESSAS COMISSÕES, DE FORMA A GARANTIR UMA APROXIMAÇÃO E PARTICIPAÇÃO MAIS EFETIVA DO CAU/MG. REUNIÕES COM COMISSÕES PARA ASSUNTOS AFINS.</t>
  </si>
  <si>
    <r>
      <t xml:space="preserve">INCENTIVAR TCC RELACIONADOS COM O TEMA DE PATRIMÔNIO CULTURAL, POR MEIO DE INCLUSÃO DE CATEGORIA/ V.ALORIZAÇÃO/ MENÇÃO HONROSA DE PATRIMÔNIO CULTURAL NOS EDITAIS DE PREMIAÇÃO DE TCC. DEPOIS PODERÁ SER AVALIADA A OPÇÃO DE EDITAL INDEPENDENTE. </t>
    </r>
    <r>
      <rPr>
        <sz val="20"/>
        <color rgb="FFFF0000"/>
        <rFont val="Calibri"/>
        <family val="2"/>
        <scheme val="minor"/>
      </rPr>
      <t>RECLASSIFICAÇÃO NO CENTRO DE CUSTOS DA CEF</t>
    </r>
  </si>
  <si>
    <t>Despesas Fixas Mensais: CIEE R$ 3.000 - Serviços de Transportes Urbanos (Táxi) em média R$ 150,00 - Despesas com Correios em média R$ 300,00</t>
  </si>
  <si>
    <t xml:space="preserve"> Despesas com Serviço de Táxi (sem utiização no período) estimado R$ 2.000,00</t>
  </si>
  <si>
    <t>Ajuda de Custo dos Servidores: R$ 167,00</t>
  </si>
  <si>
    <t>Remuneração Estagiário CIEE R$ 1.731,00 Despesas com Correios em média R$ 150,00 - Despesas com Serviço de Táxi (sem utiização no período) estimado R$ 1.000,00</t>
  </si>
  <si>
    <t>Ajuda de Custos de Servidores - R$ 83,50</t>
  </si>
  <si>
    <r>
      <t xml:space="preserve">Aquisição de equipamentos de áudio e vídeo para atender demandas da Assessoria de Comunicação- </t>
    </r>
    <r>
      <rPr>
        <b/>
        <sz val="20"/>
        <rFont val="Calibri"/>
        <family val="2"/>
        <scheme val="minor"/>
      </rPr>
      <t>Itens imobilizados</t>
    </r>
  </si>
  <si>
    <t>R$670.000,00 em despesa de capital</t>
  </si>
  <si>
    <t>CIEE R$ 1.796,30- Serviço de Táxi estimado R$ 400,00</t>
  </si>
  <si>
    <t>Contratação de Equipamentos para as Plenárias estimado mesnsal R$ 2.825,00</t>
  </si>
  <si>
    <t>Média de Utilização no período (janeiro a abril) R$ 1.475,51</t>
  </si>
  <si>
    <t>Despesas Fixas Mensais- Top Service= R$ 8.378,18 (serviço de motorista) - Estacionamento da Van R$ 560,00 - Grazielle Xavier  Lavagem de veículos  contrato anual R$ 15.272,40- Ideal locações contrato anual R$ 69.779,88 mensal em média R$ 3.876,66- Seguro da Van R$5.000,00 (Valor da contratação 2023)- Manutenção da Van R$ 20.000,00</t>
  </si>
  <si>
    <t xml:space="preserve">Valor mensal R$ 1.543,18 </t>
  </si>
  <si>
    <t>Ajuda de custo dos empregados- Valor mensal R$ 1.252,50</t>
  </si>
  <si>
    <t>Despesas Fixas: CIEE  R$ 1.796,00- Polichat R$ 650,00 - Correios em média R$1.530,00</t>
  </si>
  <si>
    <t>Ajuda de Custo R$ 334,00</t>
  </si>
  <si>
    <t>Despesas Fixas Mensais: Prius Representação R$ 87,50 - Remuneração Estagiários CIEE: R$ 1.838,88 - Serviços de Transportes Urbanos média de utilização R$ 50,00 mensais- Correios R$ 600,00</t>
  </si>
  <si>
    <t>Ajuda de Custo R$ 417,50</t>
  </si>
  <si>
    <t>Condomínio em média R$ 7.397,46- Aluguel 11º R$ 11.105,05- 9º Andar R$ 7.067,47 - Mastermaq R$ 673,50- Ita Instaladora R$ 852,00 - Imprensa Oficial estimado R$ 6.000,00 mensais- GA BH R$ 1.029,54- JS Serviços R$ 7360,61- Ocupacional Medicina do Trabalho R$ 810,00- Copysul R$ 3.920,83- CIEE R$ 1.400,00- Fachineli R$ 1.369,00- Ambiente Ar Condicionado R$ 480,00-  Sistema de Registro de Ponto R$ 1.370,96- TIM S/A R$ 1.200,00- Telefônica R$ 771,48- Menor Aprendiz CDL R$ 2.600,00- MJF R$ 2.483,33- Motoboy em média R$ 150,00- Telecomunicações Brasília R$ 1.375,00- Correios em média R$ 150,00 - Energia da Sede em média R$ 6.000,00- Backup Gmaes R$ 983,33- Serviço de SMS para Profissionais em média R$ 700,00 mensais- Transportes Urbanos em média R$ 50,00 mensais-Byte 147,50</t>
  </si>
  <si>
    <t>Ajuda de custo R$ 1.252,50 mensal</t>
  </si>
  <si>
    <t>Fundo Fixo em média R$ 1.300,00 mensais</t>
  </si>
  <si>
    <t>Capacitações GERTEF</t>
  </si>
  <si>
    <r>
      <t>CRIAR NOVOS ESCRITÓRIOS DESCENTRALIZADOS NO INTERIOR DO ESTADO, LEVANDO EM CONSIDERAÇÃO A DPOMG Nº 0137.7.6/2023. VERIFICAR POSSIBILIDADE DE UTILIZAÇÃO DE CONTRATAÇÃO DE COWORKING DE TERCEIROS PARA FUNCIONAMENTO DO ESCRITÓRIO DO CAU/MG.</t>
    </r>
    <r>
      <rPr>
        <sz val="20"/>
        <color rgb="FFFF0000"/>
        <rFont val="Calibri"/>
        <family val="2"/>
        <scheme val="minor"/>
      </rPr>
      <t xml:space="preserve"> RECLASSIFICAÇÃO PARA O CENTRO DE CUSTOS DE MUDANÇA E ADEQUAÇÃO DE NOVA SEDE.</t>
    </r>
  </si>
  <si>
    <r>
      <t>Custear a participação do Coordenador(a) da Comissão nas reuniões do</t>
    </r>
    <r>
      <rPr>
        <b/>
        <sz val="20"/>
        <rFont val="Calibri"/>
        <family val="2"/>
        <scheme val="minor"/>
      </rPr>
      <t xml:space="preserve"> Conselho Diretor</t>
    </r>
    <r>
      <rPr>
        <sz val="20"/>
        <rFont val="Calibri"/>
        <family val="2"/>
        <scheme val="minor"/>
      </rPr>
      <t xml:space="preserve">- </t>
    </r>
    <r>
      <rPr>
        <sz val="20"/>
        <color rgb="FFFF0000"/>
        <rFont val="Calibri"/>
        <family val="2"/>
        <scheme val="minor"/>
      </rPr>
      <t>RECLASSIFICAÇÃO PARA O CENTRO DE CUSTOS DO CONSELHO DIRETOR.</t>
    </r>
  </si>
  <si>
    <r>
      <t xml:space="preserve">UTILIZAR A ESTRUTURA FÍSICA DO CAU SEDE E REGIONAIS, COMO COOWORKING PARA OS PROFISSIONAIS E ESTUDANTES DE ARQUITETURA,  ASSIM LEVANDO OS PROFISSIONAIS PARA DENTRO DOS ESPAÇOS. </t>
    </r>
    <r>
      <rPr>
        <sz val="20"/>
        <color rgb="FFFF0000"/>
        <rFont val="Calibri"/>
        <family val="2"/>
        <scheme val="minor"/>
      </rPr>
      <t>RECLASSIFICAÇÃO PARA O CENTRO DE CUSTOS MUDANÇA E ADEQUAÇÃO DE NOVA SEDE.</t>
    </r>
  </si>
  <si>
    <t>Plano de Ação do Triênio 2024-2026</t>
  </si>
  <si>
    <t>Programação 
2024
(A)</t>
  </si>
  <si>
    <t>Execução 
01 Jan a 30 Abril (B)</t>
  </si>
  <si>
    <t>Projetado 
01 maio a 31 Dez (C )</t>
  </si>
  <si>
    <t>Reprogramação ordinária 2024</t>
  </si>
  <si>
    <t>Proposta de Reprogramação 2024 (D=B+C)</t>
  </si>
  <si>
    <t>Variação%
(E=D/A)</t>
  </si>
  <si>
    <r>
      <rPr>
        <b/>
        <sz val="20"/>
        <color theme="1"/>
        <rFont val="Calibri"/>
        <family val="2"/>
        <scheme val="minor"/>
      </rPr>
      <t>Realizar o calendário de 12 (doze) Reuniões Ordinárias (Comissões e Plenária)</t>
    </r>
    <r>
      <rPr>
        <sz val="20"/>
        <color theme="1"/>
        <rFont val="Calibri"/>
        <family val="2"/>
        <scheme val="minor"/>
      </rPr>
      <t xml:space="preserve"> para o cumprimento de suas competências regimentais e o desenvolvimento de ações previstas no seu Plano de Trabalho e no Plano Estratégico do CAU/MG para o triênio 2024-2026. </t>
    </r>
  </si>
  <si>
    <r>
      <t>Custear a participação do Coordenador(a) da Comissão nas reuniões do</t>
    </r>
    <r>
      <rPr>
        <b/>
        <sz val="20"/>
        <rFont val="Calibri"/>
        <family val="2"/>
        <scheme val="minor"/>
      </rPr>
      <t xml:space="preserve"> Conselho Diretor</t>
    </r>
    <r>
      <rPr>
        <sz val="20"/>
        <rFont val="Calibri"/>
        <family val="2"/>
        <scheme val="minor"/>
      </rPr>
      <t>-</t>
    </r>
    <r>
      <rPr>
        <sz val="20"/>
        <color rgb="FFFF0000"/>
        <rFont val="Calibri"/>
        <family val="2"/>
        <scheme val="minor"/>
      </rPr>
      <t xml:space="preserve"> RECLASSIFICAÇÃO PARA O CENTRO DE CUSTOS DO CONSELHO DIRETOR.</t>
    </r>
  </si>
  <si>
    <r>
      <t xml:space="preserve">AGENDA DE VISITAS ÀS ASSOCIAÇÕES E CONSÓRCIOS DE MUNICÍPIOS PROPONDO PARCERIAS. </t>
    </r>
    <r>
      <rPr>
        <sz val="20"/>
        <color rgb="FFFF0000"/>
        <rFont val="Calibri"/>
        <family val="2"/>
        <scheme val="minor"/>
      </rPr>
      <t>RECLASSIFICAÇÃO PARA O CENTRO DE CUSTOS DA CHEFIA DE GABINETE.</t>
    </r>
  </si>
  <si>
    <r>
      <t xml:space="preserve">AGENDA DE VISITAS ÀS ASSOCIAÇÕES E CONSÓRCIOS DE MUNICÍPIOS PROPONDO PARCERIAS. </t>
    </r>
    <r>
      <rPr>
        <sz val="20"/>
        <color rgb="FFFF0000"/>
        <rFont val="Calibri"/>
        <family val="2"/>
        <scheme val="minor"/>
      </rPr>
      <t>AÇÃO PROPOSTA PELA COMISSÃO DE ÉTICA E DISCIPLINA- CED</t>
    </r>
  </si>
  <si>
    <r>
      <t>Custear a participação do Coordenador(a) da Comissão nas reuniões do</t>
    </r>
    <r>
      <rPr>
        <b/>
        <sz val="20"/>
        <rFont val="Calibri"/>
        <family val="2"/>
        <scheme val="minor"/>
      </rPr>
      <t xml:space="preserve"> Conselho Diretor- </t>
    </r>
    <r>
      <rPr>
        <sz val="20"/>
        <color rgb="FFFF0000"/>
        <rFont val="Calibri"/>
        <family val="2"/>
        <scheme val="minor"/>
      </rPr>
      <t>RECLASSIFICAÇÃO PARA O CENTRO DE CUSTOS DO CONSELHO DIRETOR</t>
    </r>
  </si>
  <si>
    <r>
      <t xml:space="preserve">MARCAR REUNIÕES PARA COM ABEA PARA DISCUSSÃO DA IMPLEMENTAÇÃO DAS DCN; PARTICIPAÇÃO DE TODOS OS CONSELHEIROS NO ENSEA, QUE SERÁ REALIZADA EM UBERLÂNDIA (21 A 23 DE AGOSTO); </t>
    </r>
    <r>
      <rPr>
        <sz val="20"/>
        <color rgb="FFFF0000"/>
        <rFont val="Calibri"/>
        <family val="2"/>
        <scheme val="minor"/>
      </rPr>
      <t>CADA COMISSÃO POSSUI VERBA DE R$ 10.000,00 PARA CUSTEAR A PARTICIPAÇÃO EM EVENTOS.</t>
    </r>
  </si>
  <si>
    <t>Projetado 
01 maio a 31 Dez (C)</t>
  </si>
  <si>
    <r>
      <t>Custear a participação do Coordenador(a) da Comissão nas reuniões do</t>
    </r>
    <r>
      <rPr>
        <b/>
        <sz val="20"/>
        <rFont val="Calibri"/>
        <family val="2"/>
        <scheme val="minor"/>
      </rPr>
      <t xml:space="preserve"> Conselho Diretor</t>
    </r>
    <r>
      <rPr>
        <sz val="20"/>
        <rFont val="Calibri"/>
        <family val="2"/>
        <scheme val="minor"/>
      </rPr>
      <t xml:space="preserve">- </t>
    </r>
    <r>
      <rPr>
        <sz val="20"/>
        <color rgb="FFFF0000"/>
        <rFont val="Calibri"/>
        <family val="2"/>
        <scheme val="minor"/>
      </rPr>
      <t>RECLASSIFICAÇÃO PARA O CENTRO DE CUSTOS DO CONSELHO DIRETOR</t>
    </r>
  </si>
  <si>
    <r>
      <rPr>
        <b/>
        <sz val="20"/>
        <rFont val="Calibri"/>
        <family val="2"/>
        <scheme val="minor"/>
      </rPr>
      <t>Custear a participações da Presidente, Vice- Presidente e Conselheira Federal em reuniões dos órgãos colegiados do CAU/MG</t>
    </r>
    <r>
      <rPr>
        <sz val="20"/>
        <rFont val="Calibri"/>
        <family val="2"/>
        <scheme val="minor"/>
      </rPr>
      <t>, mensalmente ou quinzenalmente, a depender da demanda e justificabilidade.</t>
    </r>
  </si>
  <si>
    <t xml:space="preserve">Custear as participações da Presidente do CAU/MG no Fórum de Presidentes. </t>
  </si>
  <si>
    <r>
      <t>Custear a participação da Presidente ou Vice-Presidente nas reuniões do</t>
    </r>
    <r>
      <rPr>
        <b/>
        <sz val="20"/>
        <rFont val="Calibri"/>
        <family val="2"/>
        <scheme val="minor"/>
      </rPr>
      <t xml:space="preserve"> Conselho Diretor-</t>
    </r>
    <r>
      <rPr>
        <sz val="20"/>
        <color rgb="FFFF0000"/>
        <rFont val="Calibri"/>
        <family val="2"/>
        <scheme val="minor"/>
      </rPr>
      <t xml:space="preserve"> RECLASSIFICAÇÃO PARA O CENTRO DE CUSTOS DO CONSELHO DIRETOR</t>
    </r>
  </si>
  <si>
    <r>
      <t xml:space="preserve">Custear o </t>
    </r>
    <r>
      <rPr>
        <b/>
        <sz val="20"/>
        <rFont val="Calibri"/>
        <family val="2"/>
        <scheme val="minor"/>
      </rPr>
      <t>auxílio de participação remota</t>
    </r>
    <r>
      <rPr>
        <sz val="20"/>
        <rFont val="Calibri"/>
        <family val="2"/>
        <scheme val="minor"/>
      </rPr>
      <t xml:space="preserve"> a Presidente, Vice-Presidente e Conselheira Federal em reuniões remotas.</t>
    </r>
  </si>
  <si>
    <t>Realização e participação de Conselheiros em ações de relacionamento institucional.</t>
  </si>
  <si>
    <r>
      <rPr>
        <b/>
        <sz val="20"/>
        <rFont val="Calibri"/>
        <family val="2"/>
        <scheme val="minor"/>
      </rPr>
      <t>Realizar o calendário de seis Reuniões Ordinárias composta por três conselheiros, incluindo o Presidente, e três representantes das Entidades membro do Colegiado</t>
    </r>
    <r>
      <rPr>
        <sz val="20"/>
        <rFont val="Calibri"/>
        <family val="2"/>
        <scheme val="minor"/>
      </rPr>
      <t xml:space="preserve"> para o cumprimento de suas competências regimentais e o desenvolvimento de ações previstas no seu Plano de Trabalho e no Plano de Ação do CAU/MG. </t>
    </r>
  </si>
  <si>
    <t>Jornada infraestrutura verde em Belo Horizonte</t>
  </si>
  <si>
    <t>Comissão Temporária de Integridade e Compliance do CAU/MG</t>
  </si>
  <si>
    <r>
      <t xml:space="preserve">BUSCAR PARCERIAS COM PREFEITURAS PARA AMPLIAR A COOPERAÇÃO DO CAU NO PLANEJAMENTO E GESTÃO URBANOS DOS MUNICIPIOS. INICIAR AÇÃO NO CONGRESSO MINEIRO DOS MUNICÍPIOS. INSERIR NO CONTEÚDO DA CATHIS (REURB), MCMV, NOS SEMINARIOS INTEGRADOS, ENCAMINHAR PARA QUE CPUA BR DISCUTA ESSE TEMA.  BUSCAR PARCERIA COM MINISTÉRIO DAS CIDADES (FACILIDADE DE AQUISIÇÃO DE RECURSO SE O MUNICÍPIO ESTIVER VINCULADO COM O CAU, FAZER COSTURA ENTRE ÓRGÃOS). </t>
    </r>
    <r>
      <rPr>
        <sz val="20"/>
        <color rgb="FFFF0000"/>
        <rFont val="Calibri"/>
        <family val="2"/>
        <scheme val="minor"/>
      </rPr>
      <t>AÇÃO PROPOSTA DE COMISSÃO DE POLÍTICA URBANA-CPUA</t>
    </r>
  </si>
  <si>
    <t>PARTICIPAÇÃO CONJUNTA COM AS COMISSÕES ESPECIAIS (CPC-CAU/MG, CPUA-CAU/MG E CATHIS-CAU/MG) NAS PRÓXIMAS REUNIÕES COM OS REPRESENTANTES DOS CONSELHOS, NOS TEMAS PERTINENTES A ESSAS COMISSÕES, DE FORMA A GARANTIR UMA APROXIMAÇÃO E PARTICIPAÇÃO MAIS EFETIVA DO CAU/MG. REALIZAÇÃO DE BUSCAS DE CONSELHOS.</t>
  </si>
  <si>
    <r>
      <rPr>
        <b/>
        <sz val="20"/>
        <rFont val="Calibri"/>
        <family val="2"/>
        <scheme val="minor"/>
      </rPr>
      <t xml:space="preserve">Realizar o calendário de dez Reuniões Ordinárias (Comissões) </t>
    </r>
    <r>
      <rPr>
        <sz val="20"/>
        <rFont val="Calibri"/>
        <family val="2"/>
        <scheme val="minor"/>
      </rPr>
      <t>para o cumprimento de suas competências regimentais e o desenvolvimento de ações previstas no seu Plano de Trabalho e no Plano de Ação do CAU/MG.</t>
    </r>
  </si>
  <si>
    <r>
      <rPr>
        <b/>
        <sz val="20"/>
        <rFont val="Calibri"/>
        <family val="2"/>
        <scheme val="minor"/>
      </rPr>
      <t xml:space="preserve">Realizar o calendário de Reuniões Híbridas </t>
    </r>
    <r>
      <rPr>
        <sz val="20"/>
        <rFont val="Calibri"/>
        <family val="2"/>
        <scheme val="minor"/>
      </rPr>
      <t xml:space="preserve">para a apreciação de demandas extraordinárias e planejamento de novas atividades. </t>
    </r>
  </si>
  <si>
    <r>
      <t xml:space="preserve">Custear o </t>
    </r>
    <r>
      <rPr>
        <b/>
        <sz val="20"/>
        <rFont val="Calibri"/>
        <family val="2"/>
        <scheme val="minor"/>
      </rPr>
      <t>auxílio de participação remota</t>
    </r>
    <r>
      <rPr>
        <sz val="20"/>
        <rFont val="Calibri"/>
        <family val="2"/>
        <scheme val="minor"/>
      </rPr>
      <t xml:space="preserve"> aos Conselheiros nas Reuniões Remotas das Comissões.</t>
    </r>
  </si>
  <si>
    <t>ORGANIZAR ARTICULAÇÃO INTERINSTITUCIONAL COM A FINALIDADE DE IMPLEMENTAÇÃO DA ATHIS COMO POLÍTICA PÚBLICA LOCAL. REALIZAÇÃO DE CONVÊNIOS COM PREFEITURAS, COM INTUITO DE IMPLEMENTAR A ATHIS E DISCUTIR AÇÕES ENVOLVENDO ÁREAS DE RISCO.</t>
  </si>
  <si>
    <r>
      <t xml:space="preserve">A PROPOSTA DE UM FUNDO NACIONAL DE ATHIS TEM ORIGEM NA CPP-CAU/BR. O FUNDO VISA COMPLEMENTAR O APORTE DE 2% DA ARRECADAÇÃO DOS CAU/UF DESTINADOS À ASSISTÊNCIA TÉCNICA EM HABITAÇÃO DE INTERESSE SOCIAL. CONSIDERANDO FIRMAR CRITÉRIOS DE UNIFORMIZAÇÃO DE AÇÕES E PROCEDIMENTOS PARA A CONCESSÃO DE APOIO INSTITUCIONAL A ATIVIDADES VOLTADAS À ATHIS, BEM COMO, AS CONTRIBUIÇÕES ENCAMINHADAS PELOS CAU/UF'S EM RESPOSTA AO PROJETO DE RESOLUÇÃO QUE VISA A CRIAÇÃO DO REFERIDO FUNDO. PARTICIPAÇÃO EM EVENTOS E SEMINÁRIOS RELACIONADOS À ATHIS. </t>
    </r>
    <r>
      <rPr>
        <sz val="20"/>
        <color rgb="FFFF0000"/>
        <rFont val="Calibri"/>
        <family val="2"/>
        <scheme val="minor"/>
      </rPr>
      <t>RECURSO A SER DISPONIBILIZADO POR FUNDO NACIONAL ESPECÍFICO.</t>
    </r>
  </si>
  <si>
    <r>
      <t xml:space="preserve">CAU/MG, POR MEIO DE PATROCÍNIO, FOMENTA CURSOS DE EXTENSÃO FOCADOS NA PRÁTICA PROFISSIONAL. OS ARQUITETOS QUE ESTÃO ENTRANDO NO MERCADO PRECISAM DE MAIOR CAPACITAÇÃO NO TEMA. ESTÍMULO AOS PROFISSIONAIS DE FORMA A GARANTIR MAIOR EXPERIÊNCIA. ESTUDAR POSSIBILIDADES PARA QUE SEJA INCLUIDA RESIDENCIA PROFISSIONAL NAS DIRETRIZES CURRICULARES- AÇÃO CONJUNTA COM A CEF - ARTICULAÇÃO COM O CAU/BR JUNTO AO MEC, CONVÊNIO COM UNIVERSIDADES, CREDENCIAMENTO COM DESCONTO, DE CURSOS NA ÁREA.  </t>
    </r>
    <r>
      <rPr>
        <sz val="20"/>
        <color rgb="FFFF0000"/>
        <rFont val="Calibri"/>
        <family val="2"/>
        <scheme val="minor"/>
      </rPr>
      <t>RECLASSIFICAÇÃO NO CENTRO DE CUSTOS DA COMISSÃO DE ENSINO E FORMAÇÃO- CEF</t>
    </r>
    <r>
      <rPr>
        <sz val="20"/>
        <rFont val="Calibri"/>
        <family val="2"/>
        <scheme val="minor"/>
      </rPr>
      <t>.</t>
    </r>
  </si>
  <si>
    <r>
      <t xml:space="preserve">PARTICIPAR DE EVENTOS DE TEMAS RELEVANTES À COMISSÃO VISANDO CAPACITAR OS CONSELHEIROS PARA ELABORAÇÃO E APRIMORAMENTO DAS AÇÕES APLICÁVEIS AO DESENVOLVIMENTO DA ATHIS NOS MÚNICÍPIO DE MINAS GERAIS. </t>
    </r>
    <r>
      <rPr>
        <sz val="20"/>
        <color rgb="FFFF0000"/>
        <rFont val="Calibri"/>
        <family val="2"/>
        <scheme val="minor"/>
      </rPr>
      <t>RECLASSIFICAÇÃO NO CENTRO DE CUSTOS DE CAPACITAÇÕES.</t>
    </r>
  </si>
  <si>
    <r>
      <rPr>
        <b/>
        <sz val="20"/>
        <rFont val="Calibri"/>
        <family val="2"/>
        <scheme val="minor"/>
      </rPr>
      <t>Realizar o calendário de dez Reuniões Ordinárias (Comissões)</t>
    </r>
    <r>
      <rPr>
        <sz val="20"/>
        <rFont val="Calibri"/>
        <family val="2"/>
        <scheme val="minor"/>
      </rPr>
      <t xml:space="preserve"> para o cumprimento de suas competências regimentais e o desenvolvimento de ações previstas no seu Plano de Trabalho e no Plano de Ação do CAU/MG.</t>
    </r>
  </si>
  <si>
    <r>
      <t xml:space="preserve">Custear o </t>
    </r>
    <r>
      <rPr>
        <b/>
        <sz val="20"/>
        <rFont val="Calibri"/>
        <family val="2"/>
        <scheme val="minor"/>
      </rPr>
      <t>auxílio de participação remota</t>
    </r>
    <r>
      <rPr>
        <sz val="20"/>
        <rFont val="Calibri"/>
        <family val="2"/>
        <scheme val="minor"/>
      </rPr>
      <t xml:space="preserve"> aos Conselheiros nas Reuniões das Comissões Especiais.</t>
    </r>
  </si>
  <si>
    <r>
      <t xml:space="preserve">Ações Institucionais - Fomento e Inovação: lançar </t>
    </r>
    <r>
      <rPr>
        <b/>
        <sz val="20"/>
        <rFont val="Calibri"/>
        <family val="2"/>
        <scheme val="minor"/>
      </rPr>
      <t>Editais de Chamada Pública de Patrocínio na modalidade Patrimônio Cultural</t>
    </r>
    <r>
      <rPr>
        <sz val="20"/>
        <rFont val="Calibri"/>
        <family val="2"/>
        <scheme val="minor"/>
      </rPr>
      <t>, a partir de diretrizes elaboradas pela Comissão de Patrimônio Cultural (CPC-CAU/MG).</t>
    </r>
  </si>
  <si>
    <r>
      <t xml:space="preserve">Manutenção de </t>
    </r>
    <r>
      <rPr>
        <b/>
        <sz val="20"/>
        <rFont val="Calibri"/>
        <family val="2"/>
        <scheme val="minor"/>
      </rPr>
      <t>100% das despesas mensais com passagem aérea, serviço de postagens institucionais, serviços de transporte urbanos (Táxi)</t>
    </r>
    <r>
      <rPr>
        <sz val="20"/>
        <rFont val="Calibri"/>
        <family val="2"/>
        <scheme val="minor"/>
      </rPr>
      <t xml:space="preserve"> </t>
    </r>
    <r>
      <rPr>
        <b/>
        <sz val="20"/>
        <rFont val="Calibri"/>
        <family val="2"/>
        <scheme val="minor"/>
      </rPr>
      <t>e remuneração de estagiários</t>
    </r>
    <r>
      <rPr>
        <sz val="20"/>
        <rFont val="Calibri"/>
        <family val="2"/>
        <scheme val="minor"/>
      </rPr>
      <t xml:space="preserve"> para o cumprimento das atribuições da Secretaria.</t>
    </r>
  </si>
  <si>
    <r>
      <t xml:space="preserve">Manutenção de </t>
    </r>
    <r>
      <rPr>
        <b/>
        <sz val="20"/>
        <rFont val="Calibri"/>
        <family val="2"/>
        <scheme val="minor"/>
      </rPr>
      <t xml:space="preserve">100% das despesas mensais como o pagamento de colaboradores e benefícios </t>
    </r>
    <r>
      <rPr>
        <sz val="20"/>
        <rFont val="Calibri"/>
        <family val="2"/>
        <scheme val="minor"/>
      </rPr>
      <t>para o cumprimento das atribuições da Secretaria, tais como: elaboração de documentos e correspondências oficiais, gestão documental da Presidência do CAU/MG.</t>
    </r>
  </si>
  <si>
    <r>
      <t xml:space="preserve">Manutenção de </t>
    </r>
    <r>
      <rPr>
        <b/>
        <sz val="20"/>
        <rFont val="Calibri"/>
        <family val="2"/>
        <scheme val="minor"/>
      </rPr>
      <t>100% das despesas mensais como o pagamento de diárias de colaboradores e ajuda de custo aos empregados pelo trabalho remoto</t>
    </r>
    <r>
      <rPr>
        <sz val="20"/>
        <rFont val="Calibri"/>
        <family val="2"/>
        <scheme val="minor"/>
      </rPr>
      <t xml:space="preserve"> para o cumprimento das atribuições da Secretaria.</t>
    </r>
  </si>
  <si>
    <r>
      <t xml:space="preserve">Manutenção de </t>
    </r>
    <r>
      <rPr>
        <b/>
        <sz val="20"/>
        <rFont val="Calibri"/>
        <family val="2"/>
        <scheme val="minor"/>
      </rPr>
      <t xml:space="preserve">100% das despesas mensais como o pagamento do colaborador e benefícios </t>
    </r>
    <r>
      <rPr>
        <sz val="20"/>
        <rFont val="Calibri"/>
        <family val="2"/>
        <scheme val="minor"/>
      </rPr>
      <t>para o cumprimento das atribuições da Ouvidoria.</t>
    </r>
  </si>
  <si>
    <r>
      <t>Manutenção de</t>
    </r>
    <r>
      <rPr>
        <b/>
        <sz val="20"/>
        <rFont val="Calibri"/>
        <family val="2"/>
        <scheme val="minor"/>
      </rPr>
      <t xml:space="preserve"> 100% das despesas mensais como o pagamento de diárias de colaboradores e ajuda de custo aos empregados pelo trabalho remoto </t>
    </r>
    <r>
      <rPr>
        <sz val="20"/>
        <rFont val="Calibri"/>
        <family val="2"/>
        <scheme val="minor"/>
      </rPr>
      <t>para o cumprimento das atribuições da Ouvidoria.</t>
    </r>
  </si>
  <si>
    <r>
      <t>Manutenção de</t>
    </r>
    <r>
      <rPr>
        <b/>
        <sz val="20"/>
        <rFont val="Calibri"/>
        <family val="2"/>
        <scheme val="minor"/>
      </rPr>
      <t xml:space="preserve"> 100% das despesas mensais com o pagamento de passagens aéreas, despesas com transporte urbanos (Táxi), despesas com veículos (pedágios, abastecimento e demais despesas em caso de emergência), remuneração de estagiários e hospedagens dos colaboradores </t>
    </r>
    <r>
      <rPr>
        <sz val="20"/>
        <rFont val="Calibri"/>
        <family val="2"/>
        <scheme val="minor"/>
      </rPr>
      <t>para o cumprimento das atribuições da Ouvidoria.</t>
    </r>
  </si>
  <si>
    <r>
      <t xml:space="preserve">Realização de 2 (duas) semanas de integração </t>
    </r>
    <r>
      <rPr>
        <sz val="20"/>
        <rFont val="Calibri"/>
        <family val="2"/>
        <scheme val="minor"/>
      </rPr>
      <t xml:space="preserve">entre empregados da sede do CAU/MG e Escritórios Regionais para realização de reuniões e capacitações. </t>
    </r>
  </si>
  <si>
    <t>REALIZAÇÃO DE TREINAMENTO/CAPACITAÇÃO COM TODA A EQUIPE DAS GERÊNCIAS TÉCNICA E DE FISCALIZAÇÃO, A FIM DE ATUALIZAR A EQUIPE NÃO APENAS EM RELAÇÃO AOS NORMATIVOS INTERNOS DO CAU/MG, MAS TAMBÉM NO QUE SE REFERE ÀS COMPETÊNCIAS E HABILIDADES NECESSÁRIAS AO PLENO DESENVOLVIMENTO DE SUAS ATIVIDADES.</t>
  </si>
  <si>
    <r>
      <rPr>
        <sz val="20"/>
        <rFont val="Calibri"/>
        <family val="2"/>
        <scheme val="minor"/>
      </rPr>
      <t>Manutenção de</t>
    </r>
    <r>
      <rPr>
        <b/>
        <sz val="20"/>
        <rFont val="Calibri"/>
        <family val="2"/>
        <scheme val="minor"/>
      </rPr>
      <t xml:space="preserve"> 100% das despesas mensais com o pagamento de colaboradores e benefícios </t>
    </r>
    <r>
      <rPr>
        <sz val="20"/>
        <rFont val="Calibri"/>
        <family val="2"/>
        <scheme val="minor"/>
      </rPr>
      <t>para o cumprimento das atribuições da Chefia de Gabinete.</t>
    </r>
  </si>
  <si>
    <r>
      <t>GARANTIR A PARTICIPAÇÃO DOS ARQUITETOS E URBANISTAS NO PLANEJAMENTO TERRITORIAL E NA GESTÃO URBANA E ELENCAR PROJETOS DE LEI ESTADUAIS PARA A ATUAÇÃO DO CAU/MG REFERENTE À HABITAÇÃO DE INTERESSE SOCIAL.</t>
    </r>
    <r>
      <rPr>
        <sz val="20"/>
        <color rgb="FFFF0000"/>
        <rFont val="Calibri"/>
        <family val="2"/>
        <scheme val="minor"/>
      </rPr>
      <t xml:space="preserve"> AÇÃO PROPOSTA PELA COMISSÃO ESPECIAL DE ASSISTÊNCIA TÉCNICA PARA HABITAÇÃO DE INTERESSE SOCIAL-CATHIS</t>
    </r>
  </si>
  <si>
    <r>
      <t xml:space="preserve">Manutenção de </t>
    </r>
    <r>
      <rPr>
        <b/>
        <sz val="20"/>
        <rFont val="Calibri"/>
        <family val="2"/>
        <scheme val="minor"/>
      </rPr>
      <t xml:space="preserve">100% das despesas mensais com o pagamento de passagens aéreas, despesas com transporte urbanos (Táxi),  </t>
    </r>
    <r>
      <rPr>
        <sz val="20"/>
        <rFont val="Calibri"/>
        <family val="2"/>
        <scheme val="minor"/>
      </rPr>
      <t>para o cumprimento das atribuições da Chefia de Gabinete.</t>
    </r>
  </si>
  <si>
    <r>
      <rPr>
        <sz val="20"/>
        <rFont val="Calibri"/>
        <family val="2"/>
        <scheme val="minor"/>
      </rPr>
      <t xml:space="preserve">Manutenção de </t>
    </r>
    <r>
      <rPr>
        <b/>
        <sz val="20"/>
        <rFont val="Calibri"/>
        <family val="2"/>
        <scheme val="minor"/>
      </rPr>
      <t xml:space="preserve">100% das despesas mensais como o pagamento de diárias de colaboradores e ajuda de custo aos empregados pelo trabalho remoto </t>
    </r>
    <r>
      <rPr>
        <sz val="20"/>
        <rFont val="Calibri"/>
        <family val="2"/>
        <scheme val="minor"/>
      </rPr>
      <t>para o cumprimento das atribuições da Chefia de Gabinete.</t>
    </r>
  </si>
  <si>
    <r>
      <t xml:space="preserve">Manutenção de </t>
    </r>
    <r>
      <rPr>
        <b/>
        <sz val="20"/>
        <rFont val="Calibri"/>
        <family val="2"/>
        <scheme val="minor"/>
      </rPr>
      <t>100% das despesas mensais como o pagamento de diárias de colaboradores e ajuda de custo aos empregados pelo trabalho remoto</t>
    </r>
    <r>
      <rPr>
        <sz val="20"/>
        <rFont val="Calibri"/>
        <family val="2"/>
        <scheme val="minor"/>
      </rPr>
      <t xml:space="preserve"> para o cumprimento das atribuições da Assessoria de Eventos.</t>
    </r>
  </si>
  <si>
    <r>
      <t xml:space="preserve">Manutenção de </t>
    </r>
    <r>
      <rPr>
        <b/>
        <sz val="20"/>
        <rFont val="Calibri"/>
        <family val="2"/>
        <scheme val="minor"/>
      </rPr>
      <t xml:space="preserve">100% das despesas mensais com o pagamento de passagens aéreas, despesas com transporte urbanos (Táxi), Remuneração de Estagiários </t>
    </r>
    <r>
      <rPr>
        <sz val="20"/>
        <rFont val="Calibri"/>
        <family val="2"/>
        <scheme val="minor"/>
      </rPr>
      <t>para o cumprimento das atribuições da Assessoria de Eventos.</t>
    </r>
  </si>
  <si>
    <r>
      <t xml:space="preserve">ELABORAR PROPOSTA DE UM SEMINÁRIO ENTRE A CPFI-CAU/BR E AS CPFI-CAU/UF'S A FIM DE OTIMIZAR PROCEDIMENTOS E A EFICIÊNCIA DAS CPFIS- </t>
    </r>
    <r>
      <rPr>
        <sz val="20"/>
        <color rgb="FFFF0000"/>
        <rFont val="Calibri"/>
        <family val="2"/>
        <scheme val="minor"/>
      </rPr>
      <t>RECLASSIFICAÇÃO NO CENTRO DE CUSTOS DE CAPACITAÇÕES.</t>
    </r>
  </si>
  <si>
    <r>
      <t xml:space="preserve">CURSO JORNADA INFRAESTRUTURA VERDE- </t>
    </r>
    <r>
      <rPr>
        <sz val="20"/>
        <color rgb="FFFF0000"/>
        <rFont val="Calibri"/>
        <family val="2"/>
        <scheme val="minor"/>
      </rPr>
      <t>RECLASSIFICAÇÃO NO CENTRO DE CUSTOS DO COLEGIADO DE ENTIDADES - CEAU</t>
    </r>
  </si>
  <si>
    <r>
      <t xml:space="preserve">SEMINÁRIO NACIONAL DE ENSINO E FORMAÇÃO 2024- </t>
    </r>
    <r>
      <rPr>
        <sz val="20"/>
        <color rgb="FFFF0000"/>
        <rFont val="Calibri"/>
        <family val="2"/>
        <scheme val="minor"/>
      </rPr>
      <t>CADA COMISSÃO JÁ POSSUI VERBA DE R$ 10.000,00 PARA CUSTEAR A PARTICIPAÇÃO EM EVENTOS.</t>
    </r>
  </si>
  <si>
    <r>
      <t xml:space="preserve">SEMINÁRIOS CONJUNTOS DAS COMISSÕES ESPECIAIS - ONU HABITAT-  </t>
    </r>
    <r>
      <rPr>
        <sz val="20"/>
        <color rgb="FFFF0000"/>
        <rFont val="Calibri"/>
        <family val="2"/>
        <scheme val="minor"/>
      </rPr>
      <t>SALDO PREVISTA EM OUTRA AÇÃO.</t>
    </r>
  </si>
  <si>
    <r>
      <t xml:space="preserve">FÓRUM DE COORDENADORES 2024- </t>
    </r>
    <r>
      <rPr>
        <sz val="20"/>
        <color rgb="FFFF0000"/>
        <rFont val="Calibri"/>
        <family val="2"/>
        <scheme val="minor"/>
      </rPr>
      <t>RECLASSIFICAÇÃO PARA O CENTRO DE CUSTOS DE EVENTOS INSTITUCIONAIS.</t>
    </r>
  </si>
  <si>
    <r>
      <t>SEMINÁRIOS DE EDUCAÇÃO PATRIMONIAL-</t>
    </r>
    <r>
      <rPr>
        <sz val="20"/>
        <color rgb="FFFF0000"/>
        <rFont val="Calibri"/>
        <family val="2"/>
        <scheme val="minor"/>
      </rPr>
      <t xml:space="preserve"> RECLASSIFICAÇÃO PARA O CENTRO DE CUSTOS DE EVENTOS INSTITUCIONAIS.</t>
    </r>
  </si>
  <si>
    <r>
      <t xml:space="preserve">SEMINÁRIO CONJUNTO DAS COMISSÕES ESPECIAIS - ONU-HABITAT- </t>
    </r>
    <r>
      <rPr>
        <sz val="20"/>
        <color rgb="FFFF0000"/>
        <rFont val="Calibri"/>
        <family val="2"/>
        <scheme val="minor"/>
      </rPr>
      <t>SALDO PREVISTA EM OUTRA AÇÃO.</t>
    </r>
  </si>
  <si>
    <r>
      <t xml:space="preserve">SEMINÁRIO ATHIS EXPERIÊNCIA DOS EDITAIS- </t>
    </r>
    <r>
      <rPr>
        <sz val="20"/>
        <color rgb="FFFF0000"/>
        <rFont val="Calibri"/>
        <family val="2"/>
        <scheme val="minor"/>
      </rPr>
      <t>RECLASSIFICAÇÃO PARA O CENTRO DE CUSTOS DE EVENTOS INSTITUCIONAIS.</t>
    </r>
  </si>
  <si>
    <r>
      <t xml:space="preserve">EVENTOS DE CAPACITAÇÃO NAS PREFEITURAS, CONFORME PROJ. ROTAS- </t>
    </r>
    <r>
      <rPr>
        <sz val="20"/>
        <color rgb="FFFF0000"/>
        <rFont val="Calibri"/>
        <family val="2"/>
        <scheme val="minor"/>
      </rPr>
      <t>RECLASSIFICAÇÃO PARA O CENTRO DE CUSTOS DE EVENTOS INSTITUCIONAIS.</t>
    </r>
  </si>
  <si>
    <r>
      <t xml:space="preserve">CED-CAU/MG NO INTERIOR- </t>
    </r>
    <r>
      <rPr>
        <sz val="20"/>
        <color rgb="FFFF0000"/>
        <rFont val="Calibri"/>
        <family val="2"/>
        <scheme val="minor"/>
      </rPr>
      <t>RECLASSIFICAÇÃO PARA O CENTRO DE CUSTOS DE EVENTOS INSTITUCIONAIS.</t>
    </r>
  </si>
  <si>
    <r>
      <t>ARQ+: IMPULSIONANDO A ARQUITETURA E URBANISMO EM MINAS GERAIS-</t>
    </r>
    <r>
      <rPr>
        <sz val="20"/>
        <color rgb="FFFF0000"/>
        <rFont val="Calibri"/>
        <family val="2"/>
        <scheme val="minor"/>
      </rPr>
      <t>RECLASSIFICAÇÃO PARA O CENTRO DE CUSTOS DE EVENTOS INSTITUCIONAIS.</t>
    </r>
  </si>
  <si>
    <r>
      <t>PARTICIPAÇÃO DO CAU/MG NO CIRCUITO URBANO DO PROGRAMA DAS NAÇÕES UNIDAS PARA OS ASSENTAMENTOS HUMANOS (ONU-HABITAT).</t>
    </r>
    <r>
      <rPr>
        <sz val="20"/>
        <color rgb="FFFF0000"/>
        <rFont val="Calibri"/>
        <family val="2"/>
        <scheme val="minor"/>
      </rPr>
      <t xml:space="preserve"> RECLASSIFICAÇÃO PARA O CENTRO DE CUSTOS DE EVENTOS INSTITUCIONAIS.</t>
    </r>
  </si>
  <si>
    <r>
      <t xml:space="preserve">Manutenção de </t>
    </r>
    <r>
      <rPr>
        <b/>
        <sz val="20"/>
        <rFont val="Calibri"/>
        <family val="2"/>
        <scheme val="minor"/>
      </rPr>
      <t>100% das despesas mensais com o pagamento de colaboradores</t>
    </r>
    <r>
      <rPr>
        <sz val="20"/>
        <rFont val="Calibri"/>
        <family val="2"/>
        <scheme val="minor"/>
      </rPr>
      <t xml:space="preserve"> e benefícios para o cumprimento das atribuições da Assessoria de Eventos.</t>
    </r>
  </si>
  <si>
    <r>
      <rPr>
        <b/>
        <sz val="20"/>
        <rFont val="Calibri"/>
        <family val="2"/>
        <scheme val="minor"/>
      </rPr>
      <t>Contratação de serviços de apoio, execução e logística</t>
    </r>
    <r>
      <rPr>
        <sz val="20"/>
        <rFont val="Calibri"/>
        <family val="2"/>
        <scheme val="minor"/>
      </rPr>
      <t xml:space="preserve"> para a realização de eventos do CAU/MG.</t>
    </r>
  </si>
  <si>
    <r>
      <t xml:space="preserve">Manutenção de </t>
    </r>
    <r>
      <rPr>
        <b/>
        <sz val="20"/>
        <rFont val="Calibri"/>
        <family val="2"/>
        <scheme val="minor"/>
      </rPr>
      <t>100% das despesas mensais com o pagamento de colaboradores e benefícios para o cumprimento das atribuições da Assessoria de Comunicação,</t>
    </r>
    <r>
      <rPr>
        <sz val="20"/>
        <rFont val="Calibri"/>
        <family val="2"/>
        <scheme val="minor"/>
      </rPr>
      <t xml:space="preserve"> tais como: Acompanhamento da produção, desenvolvimento e distribuição de cartilhas e divulgação de campanhas; Demandas administrativas relativas a Assessoria de Comunicação. </t>
    </r>
  </si>
  <si>
    <r>
      <t>Manutenção de</t>
    </r>
    <r>
      <rPr>
        <b/>
        <sz val="20"/>
        <rFont val="Calibri"/>
        <family val="2"/>
        <scheme val="minor"/>
      </rPr>
      <t xml:space="preserve"> 100% das despesas mensais como o pagamento de diárias de colaboradores e ajuda de custo aos empregados pelo trabalho remoto </t>
    </r>
    <r>
      <rPr>
        <sz val="20"/>
        <rFont val="Calibri"/>
        <family val="2"/>
        <scheme val="minor"/>
      </rPr>
      <t>para o cumprimento das atribuições da Assessoria de Comunicação.</t>
    </r>
  </si>
  <si>
    <r>
      <rPr>
        <b/>
        <sz val="20"/>
        <rFont val="Calibri"/>
        <family val="2"/>
        <scheme val="minor"/>
      </rPr>
      <t xml:space="preserve">Manutenção de 100% das despesas mensais com o pagamento de passagens aéreas, despesas com transporte urbanos (Táxi), Remuneração de Estagiários </t>
    </r>
    <r>
      <rPr>
        <sz val="20"/>
        <rFont val="Calibri"/>
        <family val="2"/>
        <scheme val="minor"/>
      </rPr>
      <t>para o cumprimento das atribuições da Assessoria de Comunicação.</t>
    </r>
  </si>
  <si>
    <t>Promover as publicações e serviços gráficos diversos.</t>
  </si>
  <si>
    <t>Contratação de serviços de publicidade e propaganda.</t>
  </si>
  <si>
    <r>
      <t xml:space="preserve">Aquisição de equipamentos de áudio e vídeo para atender demandas da Assessoria de Comunicação- </t>
    </r>
    <r>
      <rPr>
        <sz val="20"/>
        <color rgb="FFFF0000"/>
        <rFont val="Calibri"/>
        <family val="2"/>
        <scheme val="minor"/>
      </rPr>
      <t>RECLASSIFICAÇÃO NO CENTRO DE CUSTOS DE MUDANÇA E ADEQUAÇÃO DE NOVA SEDE E ESCRITÓRIOS.</t>
    </r>
  </si>
  <si>
    <r>
      <rPr>
        <sz val="20"/>
        <rFont val="Calibri"/>
        <family val="2"/>
        <scheme val="minor"/>
      </rPr>
      <t>Manutenção de 100%</t>
    </r>
    <r>
      <rPr>
        <b/>
        <sz val="20"/>
        <rFont val="Calibri"/>
        <family val="2"/>
        <scheme val="minor"/>
      </rPr>
      <t xml:space="preserve"> das despesas mensais com o pagamento de colaboradores e benefícios para o cumprimento </t>
    </r>
    <r>
      <rPr>
        <sz val="20"/>
        <rFont val="Calibri"/>
        <family val="2"/>
        <scheme val="minor"/>
      </rPr>
      <t>das atribuições da Secretaria do Plenário e Órgãos Colegiados.</t>
    </r>
  </si>
  <si>
    <r>
      <rPr>
        <sz val="20"/>
        <rFont val="Calibri"/>
        <family val="2"/>
        <scheme val="minor"/>
      </rPr>
      <t xml:space="preserve">Manutenção de 100% </t>
    </r>
    <r>
      <rPr>
        <b/>
        <sz val="20"/>
        <rFont val="Calibri"/>
        <family val="2"/>
        <scheme val="minor"/>
      </rPr>
      <t xml:space="preserve">das despesas mensais como o pagamento de diárias de colaboradores e ajuda de custo aos empregados pelo trabalho remoto </t>
    </r>
    <r>
      <rPr>
        <sz val="20"/>
        <rFont val="Calibri"/>
        <family val="2"/>
        <scheme val="minor"/>
      </rPr>
      <t>para o cumprimento das atribuições da Secretaria do Plenário e Órgãos Colegiados.</t>
    </r>
  </si>
  <si>
    <r>
      <t xml:space="preserve">Manutenção de 100% </t>
    </r>
    <r>
      <rPr>
        <b/>
        <sz val="20"/>
        <rFont val="Calibri"/>
        <family val="2"/>
        <scheme val="minor"/>
      </rPr>
      <t xml:space="preserve">das despesas mensais com o pagamento de passagens aéreas, despesas com transporte urbanos (Táxi),  </t>
    </r>
    <r>
      <rPr>
        <sz val="20"/>
        <rFont val="Calibri"/>
        <family val="2"/>
        <scheme val="minor"/>
      </rPr>
      <t xml:space="preserve">para o cumprimento das atribuições da  </t>
    </r>
    <r>
      <rPr>
        <b/>
        <sz val="20"/>
        <rFont val="Calibri"/>
        <family val="2"/>
        <scheme val="minor"/>
      </rPr>
      <t>Secretaria do Plenário e Órgãos Colegiados.</t>
    </r>
  </si>
  <si>
    <r>
      <rPr>
        <sz val="20"/>
        <rFont val="Calibri"/>
        <family val="2"/>
        <scheme val="minor"/>
      </rPr>
      <t xml:space="preserve">Manutenção de 100% </t>
    </r>
    <r>
      <rPr>
        <b/>
        <sz val="20"/>
        <rFont val="Calibri"/>
        <family val="2"/>
        <scheme val="minor"/>
      </rPr>
      <t xml:space="preserve"> das despesas mensais como o pagamento de diárias de colaboradores e ajuda de custo aos empregados pelo trabalho remoto </t>
    </r>
    <r>
      <rPr>
        <sz val="20"/>
        <rFont val="Calibri"/>
        <family val="2"/>
        <scheme val="minor"/>
      </rPr>
      <t xml:space="preserve">para o cumprimento das atribuições da Assessoria de Imprensa </t>
    </r>
  </si>
  <si>
    <r>
      <t xml:space="preserve">Manutenção de 100% </t>
    </r>
    <r>
      <rPr>
        <b/>
        <sz val="20"/>
        <rFont val="Calibri"/>
        <family val="2"/>
        <scheme val="minor"/>
      </rPr>
      <t xml:space="preserve">das despesas mensais com o pagamento de passagens aéreas, despesas com transporte urbanos (Táxi) </t>
    </r>
    <r>
      <rPr>
        <sz val="20"/>
        <rFont val="Calibri"/>
        <family val="2"/>
        <scheme val="minor"/>
      </rPr>
      <t>para o cumprimento das atribuições da Assessoria de Imprensa.</t>
    </r>
  </si>
  <si>
    <r>
      <t xml:space="preserve">Manutenção de 100% </t>
    </r>
    <r>
      <rPr>
        <b/>
        <sz val="20"/>
        <rFont val="Calibri"/>
        <family val="2"/>
        <scheme val="minor"/>
      </rPr>
      <t xml:space="preserve">das despesas mensais com o pagamento de colaboradores e benefícios </t>
    </r>
    <r>
      <rPr>
        <sz val="20"/>
        <rFont val="Calibri"/>
        <family val="2"/>
        <scheme val="minor"/>
      </rPr>
      <t>para o cumprimento das atribuições da Assessoria de Imprensa.</t>
    </r>
  </si>
  <si>
    <r>
      <t>Manutenção de 100%</t>
    </r>
    <r>
      <rPr>
        <b/>
        <sz val="20"/>
        <rFont val="Calibri"/>
        <family val="2"/>
        <scheme val="minor"/>
      </rPr>
      <t xml:space="preserve"> das despesas mensais com o pagamento de colaboradores e benefícios</t>
    </r>
    <r>
      <rPr>
        <sz val="20"/>
        <rFont val="Calibri"/>
        <family val="2"/>
        <scheme val="minor"/>
      </rPr>
      <t xml:space="preserve"> para o cumprimento das atribuições da Assessoria Técnica.</t>
    </r>
  </si>
  <si>
    <r>
      <rPr>
        <sz val="20"/>
        <rFont val="Calibri"/>
        <family val="2"/>
        <scheme val="minor"/>
      </rPr>
      <t xml:space="preserve">Manutenção de 100% </t>
    </r>
    <r>
      <rPr>
        <b/>
        <sz val="20"/>
        <rFont val="Calibri"/>
        <family val="2"/>
        <scheme val="minor"/>
      </rPr>
      <t xml:space="preserve">das despesas mensais como o pagamento de diárias de colaboradores e ajuda de custo aos empregados pelo trabalho remoto </t>
    </r>
    <r>
      <rPr>
        <sz val="20"/>
        <rFont val="Calibri"/>
        <family val="2"/>
        <scheme val="minor"/>
      </rPr>
      <t>para o cumprimento das atribuições da Assessoria Técnica.</t>
    </r>
  </si>
  <si>
    <r>
      <t>Manutenção de 100%</t>
    </r>
    <r>
      <rPr>
        <b/>
        <sz val="20"/>
        <rFont val="Calibri"/>
        <family val="2"/>
        <scheme val="minor"/>
      </rPr>
      <t xml:space="preserve"> das despesas mensais com o pagamento de passagens aéreas, despesas com transporte urbanos (Táxi) </t>
    </r>
    <r>
      <rPr>
        <sz val="20"/>
        <rFont val="Calibri"/>
        <family val="2"/>
        <scheme val="minor"/>
      </rPr>
      <t xml:space="preserve">para o cumprimento das atribuições da  Assessoria Técnica. </t>
    </r>
  </si>
  <si>
    <r>
      <t xml:space="preserve">Manutenção de 100% </t>
    </r>
    <r>
      <rPr>
        <b/>
        <sz val="20"/>
        <rFont val="Calibri"/>
        <family val="2"/>
        <scheme val="minor"/>
      </rPr>
      <t>das despesas mensais com o pagamento de colaboradores e benefícios</t>
    </r>
    <r>
      <rPr>
        <sz val="20"/>
        <rFont val="Calibri"/>
        <family val="2"/>
        <scheme val="minor"/>
      </rPr>
      <t xml:space="preserve"> para o cumprimento das atribuições da Gerência Geral dentre as quais: monitoramento e realização do Plano de Ação; integração das atividades realizadas pelas unidades administrativas do CAU/MG.</t>
    </r>
  </si>
  <si>
    <r>
      <t xml:space="preserve">Manutenção de 100% </t>
    </r>
    <r>
      <rPr>
        <b/>
        <sz val="20"/>
        <rFont val="Calibri"/>
        <family val="2"/>
        <scheme val="minor"/>
      </rPr>
      <t>das despesas mensais como o pagamento de diárias de colaboradores e ajuda de custo aos empregados pelo trabalho remoto</t>
    </r>
    <r>
      <rPr>
        <sz val="20"/>
        <rFont val="Calibri"/>
        <family val="2"/>
        <scheme val="minor"/>
      </rPr>
      <t xml:space="preserve"> para o cumprimento das atribuições da Gerência Geral.</t>
    </r>
  </si>
  <si>
    <r>
      <t xml:space="preserve">Manutenção de </t>
    </r>
    <r>
      <rPr>
        <b/>
        <sz val="20"/>
        <rFont val="Calibri"/>
        <family val="2"/>
        <scheme val="minor"/>
      </rPr>
      <t>100% das despesas mensais com o pagamento de passagens aéreas, despesas com transporte urbanos (Táxi), despesas com veículos (pedágios, abastecimento e demais despesas em caso de emergência) e hospedagens dos colaboradores</t>
    </r>
    <r>
      <rPr>
        <sz val="20"/>
        <rFont val="Calibri"/>
        <family val="2"/>
        <scheme val="minor"/>
      </rPr>
      <t xml:space="preserve"> para o cumprimento das atribuições da Gerência Geral.</t>
    </r>
  </si>
  <si>
    <t>Contratação de empresa especializada para elaboração de estudos e relatório visando a implantação, adequação e/ou aprimoramento, no CAU/MG, das diretrizes e disposições da Lei Geral de Proteção de Dados (LGPD).</t>
  </si>
  <si>
    <r>
      <rPr>
        <b/>
        <sz val="20"/>
        <rFont val="Calibri"/>
        <family val="2"/>
        <scheme val="minor"/>
      </rPr>
      <t xml:space="preserve">Adequação dos espaços físicos </t>
    </r>
    <r>
      <rPr>
        <sz val="20"/>
        <rFont val="Calibri"/>
        <family val="2"/>
        <scheme val="minor"/>
      </rPr>
      <t xml:space="preserve">da Sede e Escritórios descentralizados do CAU/MG- </t>
    </r>
    <r>
      <rPr>
        <b/>
        <sz val="20"/>
        <rFont val="Calibri"/>
        <family val="2"/>
        <scheme val="minor"/>
      </rPr>
      <t>Serviços Diversos.</t>
    </r>
  </si>
  <si>
    <r>
      <t xml:space="preserve">Aquisição de computadores e demais </t>
    </r>
    <r>
      <rPr>
        <b/>
        <sz val="20"/>
        <rFont val="Calibri"/>
        <family val="2"/>
        <scheme val="minor"/>
      </rPr>
      <t>itens Imobilizados.</t>
    </r>
  </si>
  <si>
    <r>
      <t>Manutenção de</t>
    </r>
    <r>
      <rPr>
        <b/>
        <sz val="20"/>
        <rFont val="Calibri"/>
        <family val="2"/>
        <scheme val="minor"/>
      </rPr>
      <t xml:space="preserve"> 100% das despesas mensais com salários e benefícios de colaboradores</t>
    </r>
    <r>
      <rPr>
        <sz val="20"/>
        <rFont val="Calibri"/>
        <family val="2"/>
        <scheme val="minor"/>
      </rPr>
      <t xml:space="preserve"> para o cumprimento das atribuições da Gerência de Fiscalização.</t>
    </r>
  </si>
  <si>
    <r>
      <t xml:space="preserve">Manutenção de 100% </t>
    </r>
    <r>
      <rPr>
        <b/>
        <sz val="20"/>
        <rFont val="Calibri"/>
        <family val="2"/>
        <scheme val="minor"/>
      </rPr>
      <t xml:space="preserve">das despesas mensais como o pagamento de diárias de colaboradores e ajuda de custo aos empregados pelo trabalho remoto para o cumprimento </t>
    </r>
    <r>
      <rPr>
        <sz val="20"/>
        <rFont val="Calibri"/>
        <family val="2"/>
        <scheme val="minor"/>
      </rPr>
      <t>das atribuições da Gerência de Fiscalização.</t>
    </r>
  </si>
  <si>
    <r>
      <t>Manutenção de</t>
    </r>
    <r>
      <rPr>
        <b/>
        <sz val="20"/>
        <rFont val="Calibri"/>
        <family val="2"/>
        <scheme val="minor"/>
      </rPr>
      <t xml:space="preserve"> 100% das despesas mensais com serviços de postagens institucionais (Correios), hospedagens de colaboradores, serviço de fornecimento de Bases de Dados e/ou Mailing, despesas de transportes urbanos (táxi)</t>
    </r>
    <r>
      <rPr>
        <sz val="20"/>
        <rFont val="Calibri"/>
        <family val="2"/>
        <scheme val="minor"/>
      </rPr>
      <t xml:space="preserve"> para o cumprimento das atribuições da Gerência de Fiscalização.</t>
    </r>
  </si>
  <si>
    <r>
      <t>Manutenção de</t>
    </r>
    <r>
      <rPr>
        <b/>
        <sz val="20"/>
        <rFont val="Calibri"/>
        <family val="2"/>
        <scheme val="minor"/>
      </rPr>
      <t xml:space="preserve"> 100% das despesas com aquisição de Materiais de Segurança / EPI / Materiais</t>
    </r>
    <r>
      <rPr>
        <sz val="20"/>
        <rFont val="Calibri"/>
        <family val="2"/>
        <scheme val="minor"/>
      </rPr>
      <t xml:space="preserve"> para o cumprimento das atribuições da Gerência de Fiscalização.</t>
    </r>
  </si>
  <si>
    <t>Como o serviço já foi contratado pode entrar das despesas gerais do centro de custos/ na linha acima</t>
  </si>
  <si>
    <r>
      <t>Manutenção de</t>
    </r>
    <r>
      <rPr>
        <b/>
        <sz val="20"/>
        <rFont val="Calibri"/>
        <family val="2"/>
        <scheme val="minor"/>
      </rPr>
      <t xml:space="preserve"> 100% das despesas mensais com salários e benefícios de colaboradores </t>
    </r>
    <r>
      <rPr>
        <sz val="20"/>
        <rFont val="Calibri"/>
        <family val="2"/>
        <scheme val="minor"/>
      </rPr>
      <t>para o cumprimento das atribuições da Gerência Técnica.</t>
    </r>
  </si>
  <si>
    <r>
      <t xml:space="preserve">Manutenção de </t>
    </r>
    <r>
      <rPr>
        <b/>
        <sz val="20"/>
        <rFont val="Calibri"/>
        <family val="2"/>
        <scheme val="minor"/>
      </rPr>
      <t>100% das despesas mensais com serviços de postagens institucionais (Correios), hospedagens de colaboradores, remuneração de estagiários e despesas de transportes urbanos (táxi)</t>
    </r>
    <r>
      <rPr>
        <sz val="20"/>
        <rFont val="Calibri"/>
        <family val="2"/>
        <scheme val="minor"/>
      </rPr>
      <t xml:space="preserve"> para o cumprimento das atribuições da Gerência Técnica.</t>
    </r>
  </si>
  <si>
    <r>
      <t xml:space="preserve">Manutenção de </t>
    </r>
    <r>
      <rPr>
        <b/>
        <sz val="20"/>
        <rFont val="Calibri"/>
        <family val="2"/>
        <scheme val="minor"/>
      </rPr>
      <t xml:space="preserve">100% das despesas mensais como o pagamento de diárias de colaboradores e ajuda de custo aos empregados pelo trabalho remoto para o cumprimento </t>
    </r>
    <r>
      <rPr>
        <sz val="20"/>
        <rFont val="Calibri"/>
        <family val="2"/>
        <scheme val="minor"/>
      </rPr>
      <t>das atribuições da Gerência Técnica.</t>
    </r>
  </si>
  <si>
    <r>
      <t xml:space="preserve">Manutenção de 100% </t>
    </r>
    <r>
      <rPr>
        <b/>
        <sz val="20"/>
        <rFont val="Calibri"/>
        <family val="2"/>
        <scheme val="minor"/>
      </rPr>
      <t xml:space="preserve">das despesas mensais como o pagamento de diárias de colaboradores e ajuda de custo aos empregados pelo trabalho remoto </t>
    </r>
    <r>
      <rPr>
        <sz val="20"/>
        <rFont val="Calibri"/>
        <family val="2"/>
        <scheme val="minor"/>
      </rPr>
      <t xml:space="preserve">para o cumprimento das atribuições da Gerência Especial de Planejamento. </t>
    </r>
  </si>
  <si>
    <r>
      <t xml:space="preserve">Manutenção de </t>
    </r>
    <r>
      <rPr>
        <b/>
        <sz val="20"/>
        <rFont val="Calibri"/>
        <family val="2"/>
        <scheme val="minor"/>
      </rPr>
      <t>100% das despesas mensais com o pagamento de colaboradores e benefícios</t>
    </r>
    <r>
      <rPr>
        <sz val="20"/>
        <rFont val="Calibri"/>
        <family val="2"/>
        <scheme val="minor"/>
      </rPr>
      <t xml:space="preserve"> para o cumprimento das atribuições da Gerência Especial de Planejamento tais como: Elaboração dos Planos de Ação; Termos de cooperação técnica com municípios e órgãos públicos; Apoio à Presidência; Acompanhamento dos Indicadores Estratégicos revisados; Elaboração e consolidação das propostas de Programação e Reprogramação Orçamentária; Elaboração e consolidação dos Relatórios de Gestão; Atualização do fluxo de trabalho de processos operacioanis padrão (POP).</t>
    </r>
  </si>
  <si>
    <r>
      <t xml:space="preserve">Manutenção de </t>
    </r>
    <r>
      <rPr>
        <b/>
        <sz val="20"/>
        <rFont val="Calibri"/>
        <family val="2"/>
        <scheme val="minor"/>
      </rPr>
      <t>100% das despesas mensais com contratação de estagiários, serviço de postagens institucionais e serviços de transporte urbanos (Táxi)</t>
    </r>
    <r>
      <rPr>
        <sz val="20"/>
        <rFont val="Calibri"/>
        <family val="2"/>
        <scheme val="minor"/>
      </rPr>
      <t xml:space="preserve"> para o cumprimento das atribuições da Gerência Especial de Planejamento. </t>
    </r>
  </si>
  <si>
    <r>
      <t xml:space="preserve">Manutenção de </t>
    </r>
    <r>
      <rPr>
        <b/>
        <sz val="20"/>
        <rFont val="Calibri"/>
        <family val="2"/>
        <scheme val="minor"/>
      </rPr>
      <t>100% das despesas mensais com o pagamento de colaboradores e benefícios</t>
    </r>
    <r>
      <rPr>
        <sz val="20"/>
        <rFont val="Calibri"/>
        <family val="2"/>
        <scheme val="minor"/>
      </rPr>
      <t xml:space="preserve"> para o cumprimento das atribuições da Gerência Jurídica, tais como: atuar em ajuizamento e defesa em ações do CAU/MG na Justiça; Cumprir expedientes de rotina atribuída à Gerência pelos atos normativos do CAU/MG, emitir pareceres jurídicos etc.</t>
    </r>
  </si>
  <si>
    <r>
      <t xml:space="preserve">Manutenção de </t>
    </r>
    <r>
      <rPr>
        <b/>
        <sz val="20"/>
        <rFont val="Calibri"/>
        <family val="2"/>
        <scheme val="minor"/>
      </rPr>
      <t>100% das despesas mensais como o pagamento de diárias de colaboradores e ajuda de custo aos empregados pelo trabalho remoto</t>
    </r>
    <r>
      <rPr>
        <sz val="20"/>
        <rFont val="Calibri"/>
        <family val="2"/>
        <scheme val="minor"/>
      </rPr>
      <t xml:space="preserve"> para o cumprimento das atribuições da Gerência Jurídica.</t>
    </r>
  </si>
  <si>
    <r>
      <t xml:space="preserve">Manutenção de </t>
    </r>
    <r>
      <rPr>
        <b/>
        <sz val="20"/>
        <rFont val="Calibri"/>
        <family val="2"/>
        <scheme val="minor"/>
      </rPr>
      <t xml:space="preserve">100% das despesas mensais com a compra de passagem aérea, serviço de postagens institucionais, serviços de transporte urbanos (Táxi) e remuneração de estagiários </t>
    </r>
    <r>
      <rPr>
        <sz val="20"/>
        <rFont val="Calibri"/>
        <family val="2"/>
        <scheme val="minor"/>
      </rPr>
      <t>para o cumprimento das atribuições da Gerência Jurídica.</t>
    </r>
  </si>
  <si>
    <r>
      <t xml:space="preserve">Manutenção de </t>
    </r>
    <r>
      <rPr>
        <b/>
        <sz val="20"/>
        <rFont val="Calibri"/>
        <family val="2"/>
        <scheme val="minor"/>
      </rPr>
      <t xml:space="preserve">100% das despesas mensais com custas judiciais </t>
    </r>
    <r>
      <rPr>
        <sz val="20"/>
        <rFont val="Calibri"/>
        <family val="2"/>
        <scheme val="minor"/>
      </rPr>
      <t>para o cumprimento das atribuições da Gerência Jurídica.</t>
    </r>
  </si>
  <si>
    <r>
      <t xml:space="preserve">Manutenção de </t>
    </r>
    <r>
      <rPr>
        <b/>
        <sz val="20"/>
        <rFont val="Calibri"/>
        <family val="2"/>
        <scheme val="minor"/>
      </rPr>
      <t>100% das despesas mensais com o pagamento de colaboradores e benefícios</t>
    </r>
    <r>
      <rPr>
        <sz val="20"/>
        <rFont val="Calibri"/>
        <family val="2"/>
        <scheme val="minor"/>
      </rPr>
      <t xml:space="preserve"> para o cumprimento das atribuições da Gerência Administrativa</t>
    </r>
  </si>
  <si>
    <r>
      <t xml:space="preserve">Manutenção de </t>
    </r>
    <r>
      <rPr>
        <b/>
        <sz val="20"/>
        <rFont val="Calibri"/>
        <family val="2"/>
        <scheme val="minor"/>
      </rPr>
      <t>100% das despesas mensais como o pagamento de diárias de colaboradores e ajuda de custo aos empregados pelo trabalho remoto</t>
    </r>
    <r>
      <rPr>
        <sz val="20"/>
        <rFont val="Calibri"/>
        <family val="2"/>
        <scheme val="minor"/>
      </rPr>
      <t xml:space="preserve"> para o cumprimento das atribuições da Gerência Administrativa.</t>
    </r>
  </si>
  <si>
    <r>
      <t xml:space="preserve">Manutenção de </t>
    </r>
    <r>
      <rPr>
        <b/>
        <sz val="20"/>
        <rFont val="Calibri"/>
        <family val="2"/>
        <scheme val="minor"/>
      </rPr>
      <t xml:space="preserve">100% das despesas mensais com os serviços de internet, informática, telecomunicações, limpeza e conservação, energia elétrica, medicina do trabalho, contratação de estagiários, Publicação de Editais e Demais Serviços Prestados </t>
    </r>
    <r>
      <rPr>
        <sz val="20"/>
        <rFont val="Calibri"/>
        <family val="2"/>
        <scheme val="minor"/>
      </rPr>
      <t>para o cumprimento das atribuições da Gerência Administrativa.</t>
    </r>
  </si>
  <si>
    <r>
      <t>Manutenção de 100%</t>
    </r>
    <r>
      <rPr>
        <b/>
        <sz val="20"/>
        <rFont val="Calibri"/>
        <family val="2"/>
        <scheme val="minor"/>
      </rPr>
      <t xml:space="preserve"> das despesas mensais com o pagamento de colaboradores e benefícios</t>
    </r>
    <r>
      <rPr>
        <sz val="20"/>
        <rFont val="Calibri"/>
        <family val="2"/>
        <scheme val="minor"/>
      </rPr>
      <t xml:space="preserve"> para o cumprimento das atribuições da Gerência Financeira.</t>
    </r>
  </si>
  <si>
    <r>
      <t xml:space="preserve">Manutenção de 100% </t>
    </r>
    <r>
      <rPr>
        <b/>
        <sz val="20"/>
        <rFont val="Calibri"/>
        <family val="2"/>
        <scheme val="minor"/>
      </rPr>
      <t xml:space="preserve">das despesas mensais como o pagamento de diárias de colaboradores e ajuda de custo aos empregados pelo trabalho remoto </t>
    </r>
    <r>
      <rPr>
        <sz val="20"/>
        <rFont val="Calibri"/>
        <family val="2"/>
        <scheme val="minor"/>
      </rPr>
      <t>para o cumprimento das atribuições da Gerência Financeira.</t>
    </r>
  </si>
  <si>
    <r>
      <t>Manutenção de 100%</t>
    </r>
    <r>
      <rPr>
        <b/>
        <sz val="20"/>
        <rFont val="Calibri"/>
        <family val="2"/>
        <scheme val="minor"/>
      </rPr>
      <t xml:space="preserve"> das despesas mensais Despesas Miúdas de Pronto Pagamento do Fundo Fixo de Caixa </t>
    </r>
    <r>
      <rPr>
        <sz val="20"/>
        <rFont val="Calibri"/>
        <family val="2"/>
        <scheme val="minor"/>
      </rPr>
      <t>para o cumprimento das atribuições da Gerência Financeira.</t>
    </r>
  </si>
  <si>
    <r>
      <t>Manutenção de 100%</t>
    </r>
    <r>
      <rPr>
        <b/>
        <sz val="20"/>
        <rFont val="Calibri"/>
        <family val="2"/>
        <scheme val="minor"/>
      </rPr>
      <t xml:space="preserve"> das despesas mensais com o pagamento de indenizações e restituições, Impostos e taxas, tarifas bancárias, seguros diversos.</t>
    </r>
  </si>
  <si>
    <r>
      <t xml:space="preserve">Manutenção de 100% </t>
    </r>
    <r>
      <rPr>
        <b/>
        <sz val="20"/>
        <rFont val="Calibri"/>
        <family val="2"/>
        <scheme val="minor"/>
      </rPr>
      <t>das despesas mensais como o pagamento de diárias de colaboradores e ajuda de custo aos empregados pelo trabalho remoto</t>
    </r>
    <r>
      <rPr>
        <sz val="20"/>
        <rFont val="Calibri"/>
        <family val="2"/>
        <scheme val="minor"/>
      </rPr>
      <t xml:space="preserve"> para o cumprimento das atividades de atendimento realizadas no esritório descentralizado.</t>
    </r>
  </si>
  <si>
    <t>PREENCHIMENTO FACULTATIVO: Anexo 4 - Quadro Descritivo de Ações e Metas do Plano de Ação - Reprogramação 2024</t>
  </si>
  <si>
    <t>Manter e Desenvolver as atividades da Chefia de Gabinete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</si>
</sst>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0_);_(* \(#,##0.0\);_(* &quot;-&quot;??_);_(@_)"/>
    <numFmt numFmtId="166" formatCode="#,##0.0"/>
    <numFmt numFmtId="167" formatCode="&quot;R$&quot;\ #,##0.00"/>
  </numFmts>
  <fonts count="23" x14ac:knownFonts="1">
    <font>
      <sz val="11"/>
      <color theme="1"/>
      <name val="Calibri"/>
      <family val="2"/>
      <scheme val="minor"/>
    </font>
    <font>
      <sz val="11"/>
      <color theme="1"/>
      <name val="Calibri"/>
      <family val="2"/>
      <scheme val="minor"/>
    </font>
    <font>
      <b/>
      <sz val="16"/>
      <color theme="0"/>
      <name val="Tahoma"/>
      <family val="2"/>
    </font>
    <font>
      <sz val="20"/>
      <color theme="1"/>
      <name val="Calibri"/>
      <family val="2"/>
      <scheme val="minor"/>
    </font>
    <font>
      <b/>
      <sz val="20"/>
      <color theme="1"/>
      <name val="Calibri"/>
      <family val="2"/>
      <scheme val="minor"/>
    </font>
    <font>
      <b/>
      <sz val="20"/>
      <color theme="0" tint="-4.9989318521683403E-2"/>
      <name val="Calibri"/>
      <family val="2"/>
      <scheme val="minor"/>
    </font>
    <font>
      <b/>
      <sz val="20"/>
      <color theme="1"/>
      <name val="Arial"/>
      <family val="2"/>
    </font>
    <font>
      <b/>
      <sz val="20"/>
      <name val="Calibri"/>
      <family val="2"/>
      <scheme val="minor"/>
    </font>
    <font>
      <b/>
      <sz val="20"/>
      <color theme="0"/>
      <name val="Arial Narrow"/>
      <family val="2"/>
    </font>
    <font>
      <b/>
      <sz val="20"/>
      <color theme="0"/>
      <name val="Calibri"/>
      <family val="2"/>
      <scheme val="minor"/>
    </font>
    <font>
      <sz val="20"/>
      <color theme="1" tint="0.499984740745262"/>
      <name val="Calibri"/>
      <family val="2"/>
      <scheme val="minor"/>
    </font>
    <font>
      <sz val="20"/>
      <name val="Calibri"/>
      <family val="2"/>
      <scheme val="minor"/>
    </font>
    <font>
      <sz val="20"/>
      <color rgb="FFFF0000"/>
      <name val="Calibri"/>
      <family val="2"/>
      <scheme val="minor"/>
    </font>
    <font>
      <sz val="18"/>
      <color indexed="81"/>
      <name val="Segoe UI"/>
      <family val="2"/>
    </font>
    <font>
      <b/>
      <sz val="18"/>
      <color indexed="81"/>
      <name val="Segoe UI"/>
      <family val="2"/>
    </font>
    <font>
      <b/>
      <sz val="20"/>
      <color rgb="FFFF0000"/>
      <name val="Calibri"/>
      <family val="2"/>
      <scheme val="minor"/>
    </font>
    <font>
      <b/>
      <sz val="20"/>
      <color rgb="FF000000"/>
      <name val="Calibri"/>
      <family val="2"/>
      <scheme val="minor"/>
    </font>
    <font>
      <sz val="20"/>
      <color rgb="FF000000"/>
      <name val="Calibri"/>
      <family val="2"/>
      <scheme val="minor"/>
    </font>
    <font>
      <sz val="28"/>
      <color rgb="FFFF0000"/>
      <name val="Calibri"/>
      <family val="2"/>
      <scheme val="minor"/>
    </font>
    <font>
      <b/>
      <sz val="20"/>
      <color rgb="FFFF0000"/>
      <name val="Arial"/>
      <family val="2"/>
    </font>
    <font>
      <sz val="9"/>
      <color indexed="81"/>
      <name val="Segoe UI"/>
      <family val="2"/>
    </font>
    <font>
      <b/>
      <sz val="9"/>
      <color indexed="81"/>
      <name val="Segoe UI"/>
      <family val="2"/>
    </font>
    <font>
      <sz val="14"/>
      <color indexed="81"/>
      <name val="Segoe UI"/>
      <family val="2"/>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bgColor indexed="64"/>
      </patternFill>
    </fill>
    <fill>
      <patternFill patternType="solid">
        <fgColor rgb="FFFFFFFF"/>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F99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8">
    <xf numFmtId="0" fontId="0" fillId="0" borderId="0" xfId="0"/>
    <xf numFmtId="0" fontId="3" fillId="0" borderId="0" xfId="0" applyFont="1" applyAlignment="1">
      <alignment wrapText="1"/>
    </xf>
    <xf numFmtId="0" fontId="6" fillId="0" borderId="0" xfId="0" applyFont="1"/>
    <xf numFmtId="0" fontId="3" fillId="0" borderId="0" xfId="0" applyFont="1" applyAlignment="1">
      <alignment vertical="center" wrapText="1"/>
    </xf>
    <xf numFmtId="0" fontId="5" fillId="2" borderId="5" xfId="0" applyFont="1" applyFill="1" applyBorder="1" applyAlignment="1" applyProtection="1">
      <alignment horizontal="left" vertical="center" wrapText="1"/>
      <protection locked="0"/>
    </xf>
    <xf numFmtId="0" fontId="4" fillId="2" borderId="5" xfId="0" applyFont="1" applyFill="1" applyBorder="1" applyAlignment="1">
      <alignment horizontal="left" vertical="center" wrapText="1"/>
    </xf>
    <xf numFmtId="0" fontId="3" fillId="2" borderId="0" xfId="0" applyFont="1" applyFill="1" applyAlignment="1">
      <alignment wrapText="1"/>
    </xf>
    <xf numFmtId="0" fontId="6" fillId="2" borderId="0" xfId="0" applyFont="1" applyFill="1"/>
    <xf numFmtId="0" fontId="3" fillId="2" borderId="0" xfId="0" applyFont="1" applyFill="1" applyAlignment="1">
      <alignment vertical="center" wrapText="1"/>
    </xf>
    <xf numFmtId="164" fontId="3" fillId="2" borderId="1" xfId="0" applyNumberFormat="1" applyFont="1" applyFill="1" applyBorder="1" applyAlignment="1" applyProtection="1">
      <alignment vertical="center" wrapText="1"/>
      <protection locked="0"/>
    </xf>
    <xf numFmtId="165" fontId="3" fillId="2" borderId="1" xfId="0" applyNumberFormat="1" applyFont="1" applyFill="1" applyBorder="1" applyAlignment="1" applyProtection="1">
      <alignment vertical="center" wrapText="1"/>
      <protection locked="0"/>
    </xf>
    <xf numFmtId="0" fontId="8" fillId="2" borderId="0" xfId="0" applyFont="1" applyFill="1" applyAlignment="1">
      <alignment horizontal="center" vertical="center" wrapText="1"/>
    </xf>
    <xf numFmtId="0" fontId="4" fillId="0" borderId="0" xfId="0" applyFont="1" applyAlignment="1">
      <alignment vertical="center" wrapText="1"/>
    </xf>
    <xf numFmtId="0" fontId="3" fillId="2" borderId="2" xfId="0" applyFont="1" applyFill="1" applyBorder="1" applyAlignment="1" applyProtection="1">
      <alignment horizontal="left" wrapText="1"/>
      <protection locked="0"/>
    </xf>
    <xf numFmtId="0" fontId="5" fillId="2" borderId="0" xfId="0" applyFont="1" applyFill="1" applyAlignment="1">
      <alignment horizontal="center" vertical="center" wrapText="1"/>
    </xf>
    <xf numFmtId="166" fontId="3" fillId="0" borderId="0" xfId="0" applyNumberFormat="1" applyFont="1" applyAlignment="1">
      <alignment wrapText="1"/>
    </xf>
    <xf numFmtId="0" fontId="5" fillId="4" borderId="1" xfId="0" applyFont="1" applyFill="1" applyBorder="1" applyAlignment="1">
      <alignment horizontal="center" vertical="center" wrapText="1"/>
    </xf>
    <xf numFmtId="0" fontId="3" fillId="5" borderId="0" xfId="0" applyFont="1" applyFill="1" applyAlignment="1">
      <alignment wrapText="1"/>
    </xf>
    <xf numFmtId="165" fontId="3" fillId="6" borderId="1" xfId="0" applyNumberFormat="1" applyFont="1" applyFill="1" applyBorder="1" applyAlignment="1">
      <alignment vertical="center" wrapText="1"/>
    </xf>
    <xf numFmtId="164" fontId="9" fillId="4" borderId="1" xfId="1" applyFont="1" applyFill="1" applyBorder="1" applyAlignment="1">
      <alignment horizontal="right" vertical="center" wrapText="1"/>
    </xf>
    <xf numFmtId="0" fontId="5" fillId="2" borderId="5" xfId="0" applyFont="1" applyFill="1" applyBorder="1" applyAlignment="1" applyProtection="1">
      <alignment horizontal="center" vertical="center" wrapText="1"/>
      <protection locked="0"/>
    </xf>
    <xf numFmtId="0" fontId="3" fillId="0" borderId="0" xfId="0" applyFont="1" applyAlignment="1">
      <alignment horizontal="center" wrapText="1"/>
    </xf>
    <xf numFmtId="0" fontId="3" fillId="5"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wrapText="1"/>
      <protection locked="0"/>
    </xf>
    <xf numFmtId="0" fontId="3" fillId="2" borderId="1" xfId="0" applyFont="1" applyFill="1" applyBorder="1" applyAlignment="1" applyProtection="1">
      <alignment vertical="center" wrapText="1"/>
      <protection locked="0"/>
    </xf>
    <xf numFmtId="0" fontId="11" fillId="2" borderId="1" xfId="0" applyFont="1" applyFill="1" applyBorder="1" applyAlignment="1" applyProtection="1">
      <alignment vertical="center" wrapText="1"/>
      <protection locked="0"/>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10"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9" fontId="3" fillId="0" borderId="1" xfId="2"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9" fontId="11" fillId="0" borderId="1" xfId="0" applyNumberFormat="1" applyFont="1" applyBorder="1" applyAlignment="1" applyProtection="1">
      <alignment horizontal="center" vertical="center" wrapText="1"/>
      <protection locked="0"/>
    </xf>
    <xf numFmtId="164" fontId="9" fillId="9" borderId="1" xfId="1" applyFont="1" applyFill="1" applyBorder="1" applyAlignment="1">
      <alignment horizontal="right" vertical="center" wrapText="1"/>
    </xf>
    <xf numFmtId="1" fontId="3" fillId="0" borderId="1" xfId="2" applyNumberFormat="1" applyFont="1" applyFill="1" applyBorder="1" applyAlignment="1" applyProtection="1">
      <alignment horizontal="center" vertical="center" wrapText="1"/>
      <protection locked="0"/>
    </xf>
    <xf numFmtId="9" fontId="11" fillId="0" borderId="1" xfId="2" applyFont="1" applyFill="1" applyBorder="1" applyAlignment="1" applyProtection="1">
      <alignment horizontal="center" vertical="center" wrapText="1"/>
      <protection locked="0"/>
    </xf>
    <xf numFmtId="9" fontId="3" fillId="2" borderId="1" xfId="0" applyNumberFormat="1" applyFont="1" applyFill="1" applyBorder="1" applyAlignment="1" applyProtection="1">
      <alignment horizontal="center" vertical="center" wrapText="1"/>
      <protection locked="0"/>
    </xf>
    <xf numFmtId="0" fontId="3" fillId="10" borderId="1" xfId="0" applyFont="1" applyFill="1" applyBorder="1" applyAlignment="1">
      <alignment vertical="center" wrapText="1"/>
    </xf>
    <xf numFmtId="1" fontId="11" fillId="0" borderId="1" xfId="2" applyNumberFormat="1" applyFont="1" applyFill="1" applyBorder="1" applyAlignment="1" applyProtection="1">
      <alignment horizontal="center" vertical="center" wrapText="1"/>
      <protection locked="0"/>
    </xf>
    <xf numFmtId="1" fontId="11" fillId="0" borderId="1" xfId="0" applyNumberFormat="1" applyFont="1" applyBorder="1" applyAlignment="1" applyProtection="1">
      <alignment horizontal="center" vertical="center" wrapText="1"/>
      <protection locked="0"/>
    </xf>
    <xf numFmtId="0" fontId="11" fillId="0" borderId="0" xfId="0" applyFont="1" applyAlignment="1">
      <alignment wrapText="1"/>
    </xf>
    <xf numFmtId="9" fontId="11" fillId="2" borderId="1" xfId="0" applyNumberFormat="1" applyFont="1" applyFill="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wrapText="1"/>
      <protection locked="0"/>
    </xf>
    <xf numFmtId="9" fontId="3" fillId="0" borderId="1" xfId="0" applyNumberFormat="1" applyFont="1" applyBorder="1" applyAlignment="1" applyProtection="1">
      <alignment horizontal="center" vertical="center" wrapText="1"/>
      <protection locked="0"/>
    </xf>
    <xf numFmtId="0" fontId="10" fillId="0" borderId="11" xfId="0" applyFont="1" applyBorder="1" applyAlignment="1">
      <alignment horizontal="center"/>
    </xf>
    <xf numFmtId="4" fontId="3" fillId="0" borderId="0" xfId="0" applyNumberFormat="1" applyFont="1" applyAlignment="1">
      <alignment wrapText="1"/>
    </xf>
    <xf numFmtId="43" fontId="3" fillId="0" borderId="0" xfId="0" applyNumberFormat="1" applyFont="1" applyAlignment="1">
      <alignment wrapText="1"/>
    </xf>
    <xf numFmtId="0" fontId="3" fillId="0" borderId="0" xfId="0" applyFont="1"/>
    <xf numFmtId="0" fontId="4" fillId="0" borderId="1" xfId="0" applyFont="1" applyBorder="1" applyAlignment="1" applyProtection="1">
      <alignment vertical="center" wrapText="1"/>
      <protection locked="0"/>
    </xf>
    <xf numFmtId="43" fontId="3" fillId="0" borderId="0" xfId="0" applyNumberFormat="1" applyFont="1" applyAlignment="1">
      <alignment horizontal="center" vertical="center" wrapText="1"/>
    </xf>
    <xf numFmtId="164" fontId="11" fillId="0" borderId="11" xfId="1" applyFont="1" applyBorder="1" applyAlignment="1">
      <alignment horizontal="center"/>
    </xf>
    <xf numFmtId="164" fontId="3" fillId="0" borderId="0" xfId="1" applyFont="1" applyAlignment="1">
      <alignment horizontal="center" vertical="center" wrapText="1"/>
    </xf>
    <xf numFmtId="43" fontId="4" fillId="0" borderId="0" xfId="0" applyNumberFormat="1" applyFont="1" applyAlignment="1">
      <alignment vertical="center" wrapText="1"/>
    </xf>
    <xf numFmtId="164" fontId="3" fillId="0" borderId="0" xfId="1" applyFont="1" applyAlignment="1">
      <alignment wrapText="1"/>
    </xf>
    <xf numFmtId="164" fontId="9" fillId="0" borderId="0" xfId="1" applyFont="1" applyFill="1" applyBorder="1" applyAlignment="1">
      <alignment horizontal="right" vertical="center" wrapText="1"/>
    </xf>
    <xf numFmtId="164" fontId="7" fillId="0" borderId="0" xfId="1" applyFont="1" applyFill="1" applyBorder="1" applyAlignment="1">
      <alignment horizontal="right" vertical="center" wrapText="1"/>
    </xf>
    <xf numFmtId="164" fontId="3" fillId="0" borderId="0" xfId="1" applyFont="1" applyBorder="1" applyAlignment="1">
      <alignment wrapText="1"/>
    </xf>
    <xf numFmtId="164" fontId="3" fillId="6" borderId="1" xfId="0" applyNumberFormat="1" applyFont="1" applyFill="1" applyBorder="1" applyAlignment="1">
      <alignment vertical="center" wrapText="1"/>
    </xf>
    <xf numFmtId="0" fontId="17" fillId="2" borderId="1" xfId="0" applyFont="1" applyFill="1" applyBorder="1" applyAlignment="1" applyProtection="1">
      <alignment vertical="center" wrapText="1"/>
      <protection locked="0"/>
    </xf>
    <xf numFmtId="9" fontId="11" fillId="2" borderId="1" xfId="2" applyFont="1" applyFill="1" applyBorder="1" applyAlignment="1" applyProtection="1">
      <alignment horizontal="center" vertical="center" wrapText="1"/>
      <protection locked="0"/>
    </xf>
    <xf numFmtId="0" fontId="11" fillId="10" borderId="1" xfId="0" applyFont="1" applyFill="1" applyBorder="1" applyAlignment="1">
      <alignment horizontal="center" vertical="center" wrapText="1"/>
    </xf>
    <xf numFmtId="0" fontId="11" fillId="0" borderId="1" xfId="0" applyFont="1" applyBorder="1" applyAlignment="1">
      <alignment wrapText="1"/>
    </xf>
    <xf numFmtId="0" fontId="11" fillId="0" borderId="1" xfId="0" applyFont="1" applyBorder="1" applyAlignment="1">
      <alignment vertical="center" wrapText="1"/>
    </xf>
    <xf numFmtId="0" fontId="3" fillId="11" borderId="1" xfId="0" applyFont="1" applyFill="1" applyBorder="1" applyAlignment="1" applyProtection="1">
      <alignment horizontal="center" vertical="center" wrapText="1"/>
      <protection locked="0"/>
    </xf>
    <xf numFmtId="0" fontId="7" fillId="11" borderId="1" xfId="0" applyFont="1" applyFill="1" applyBorder="1" applyAlignment="1" applyProtection="1">
      <alignment vertical="center" wrapText="1"/>
      <protection locked="0"/>
    </xf>
    <xf numFmtId="1" fontId="11" fillId="11" borderId="1" xfId="2" applyNumberFormat="1" applyFont="1" applyFill="1" applyBorder="1" applyAlignment="1" applyProtection="1">
      <alignment horizontal="center" vertical="center" wrapText="1"/>
      <protection locked="0"/>
    </xf>
    <xf numFmtId="0" fontId="11" fillId="11" borderId="1" xfId="0" applyFont="1" applyFill="1" applyBorder="1" applyAlignment="1" applyProtection="1">
      <alignment vertical="center" wrapText="1"/>
      <protection locked="0"/>
    </xf>
    <xf numFmtId="1" fontId="3" fillId="11" borderId="1" xfId="2" applyNumberFormat="1" applyFont="1" applyFill="1" applyBorder="1" applyAlignment="1" applyProtection="1">
      <alignment horizontal="center" vertical="center" wrapText="1"/>
      <protection locked="0"/>
    </xf>
    <xf numFmtId="1" fontId="3" fillId="11" borderId="1" xfId="0" applyNumberFormat="1" applyFont="1" applyFill="1" applyBorder="1" applyAlignment="1" applyProtection="1">
      <alignment horizontal="center" vertical="center" wrapText="1"/>
      <protection locked="0"/>
    </xf>
    <xf numFmtId="0" fontId="4" fillId="11" borderId="5" xfId="0" applyFont="1" applyFill="1" applyBorder="1" applyAlignment="1" applyProtection="1">
      <alignment vertical="center" wrapText="1"/>
      <protection locked="0"/>
    </xf>
    <xf numFmtId="1" fontId="11" fillId="11" borderId="1" xfId="0" applyNumberFormat="1" applyFont="1" applyFill="1" applyBorder="1" applyAlignment="1" applyProtection="1">
      <alignment horizontal="center" vertical="center" wrapText="1"/>
      <protection locked="0"/>
    </xf>
    <xf numFmtId="9" fontId="3" fillId="11" borderId="1" xfId="0" applyNumberFormat="1" applyFont="1" applyFill="1" applyBorder="1" applyAlignment="1" applyProtection="1">
      <alignment horizontal="center" vertical="center" wrapText="1"/>
      <protection locked="0"/>
    </xf>
    <xf numFmtId="0" fontId="4" fillId="11" borderId="1" xfId="0" applyFont="1" applyFill="1" applyBorder="1" applyAlignment="1" applyProtection="1">
      <alignment vertical="center" wrapText="1"/>
      <protection locked="0"/>
    </xf>
    <xf numFmtId="165" fontId="3" fillId="11" borderId="1" xfId="0" applyNumberFormat="1" applyFont="1" applyFill="1" applyBorder="1" applyAlignment="1">
      <alignment vertical="center" wrapText="1"/>
    </xf>
    <xf numFmtId="164" fontId="3" fillId="11" borderId="1" xfId="0" applyNumberFormat="1" applyFont="1" applyFill="1" applyBorder="1" applyAlignment="1" applyProtection="1">
      <alignment vertical="center" wrapText="1"/>
      <protection locked="0"/>
    </xf>
    <xf numFmtId="165" fontId="3" fillId="11" borderId="1" xfId="0" applyNumberFormat="1" applyFont="1" applyFill="1" applyBorder="1" applyAlignment="1" applyProtection="1">
      <alignment vertical="center" wrapText="1"/>
      <protection locked="0"/>
    </xf>
    <xf numFmtId="0" fontId="3" fillId="11" borderId="1" xfId="0" applyFont="1" applyFill="1" applyBorder="1" applyAlignment="1">
      <alignment horizontal="center" vertical="center" wrapText="1"/>
    </xf>
    <xf numFmtId="0" fontId="3" fillId="11" borderId="0" xfId="0" applyFont="1" applyFill="1" applyAlignment="1">
      <alignment wrapText="1"/>
    </xf>
    <xf numFmtId="0" fontId="5" fillId="11" borderId="5" xfId="0" applyFont="1" applyFill="1" applyBorder="1" applyAlignment="1" applyProtection="1">
      <alignment horizontal="left" vertical="center" wrapText="1"/>
      <protection locked="0"/>
    </xf>
    <xf numFmtId="0" fontId="3" fillId="11" borderId="0" xfId="0" applyFont="1" applyFill="1" applyAlignment="1">
      <alignment horizontal="center" vertical="center" wrapText="1"/>
    </xf>
    <xf numFmtId="0" fontId="4" fillId="11" borderId="6" xfId="0" applyFont="1" applyFill="1" applyBorder="1" applyAlignment="1" applyProtection="1">
      <alignment vertical="center" wrapText="1"/>
      <protection locked="0"/>
    </xf>
    <xf numFmtId="0" fontId="5" fillId="11" borderId="5" xfId="0" applyFont="1" applyFill="1" applyBorder="1" applyAlignment="1" applyProtection="1">
      <alignment horizontal="center" vertical="center" wrapText="1"/>
      <protection locked="0"/>
    </xf>
    <xf numFmtId="0" fontId="4" fillId="11" borderId="5" xfId="0" applyFont="1" applyFill="1" applyBorder="1" applyAlignment="1">
      <alignment horizontal="left" vertical="center" wrapText="1"/>
    </xf>
    <xf numFmtId="0" fontId="5" fillId="11" borderId="1" xfId="0" applyFont="1" applyFill="1" applyBorder="1" applyAlignment="1">
      <alignment horizontal="center" vertical="center" wrapText="1"/>
    </xf>
    <xf numFmtId="164" fontId="9" fillId="11" borderId="1" xfId="1" applyFont="1" applyFill="1" applyBorder="1" applyAlignment="1">
      <alignment horizontal="right" vertical="center" wrapText="1"/>
    </xf>
    <xf numFmtId="0" fontId="10" fillId="0" borderId="5" xfId="0" applyFont="1" applyBorder="1" applyAlignment="1">
      <alignment horizontal="center"/>
    </xf>
    <xf numFmtId="0" fontId="11" fillId="11" borderId="1" xfId="0" applyFont="1" applyFill="1" applyBorder="1" applyAlignment="1">
      <alignment horizontal="center" vertical="center" wrapText="1"/>
    </xf>
    <xf numFmtId="9" fontId="11" fillId="11" borderId="1" xfId="2" applyFont="1" applyFill="1" applyBorder="1" applyAlignment="1" applyProtection="1">
      <alignment horizontal="center" vertical="center" wrapText="1"/>
      <protection locked="0"/>
    </xf>
    <xf numFmtId="167" fontId="9" fillId="4" borderId="1" xfId="1" applyNumberFormat="1" applyFont="1" applyFill="1" applyBorder="1" applyAlignment="1">
      <alignment horizontal="right" vertical="center" wrapText="1"/>
    </xf>
    <xf numFmtId="167" fontId="9" fillId="11" borderId="1" xfId="1" applyNumberFormat="1" applyFont="1" applyFill="1" applyBorder="1" applyAlignment="1">
      <alignment horizontal="right" vertical="center" wrapText="1"/>
    </xf>
    <xf numFmtId="167" fontId="3" fillId="0" borderId="0" xfId="0" applyNumberFormat="1" applyFont="1" applyAlignment="1">
      <alignment horizontal="center" vertical="center" wrapText="1"/>
    </xf>
    <xf numFmtId="167" fontId="3" fillId="10" borderId="1" xfId="0" applyNumberFormat="1" applyFont="1" applyFill="1" applyBorder="1" applyAlignment="1">
      <alignment horizontal="center" vertical="center" wrapText="1"/>
    </xf>
    <xf numFmtId="167" fontId="3" fillId="2" borderId="0" xfId="0" applyNumberFormat="1" applyFont="1" applyFill="1" applyAlignment="1">
      <alignment horizontal="center" vertical="center" wrapText="1"/>
    </xf>
    <xf numFmtId="167" fontId="9" fillId="9" borderId="1" xfId="1" applyNumberFormat="1" applyFont="1" applyFill="1" applyBorder="1" applyAlignment="1">
      <alignment horizontal="center" vertical="center" wrapText="1"/>
    </xf>
    <xf numFmtId="167" fontId="3" fillId="11" borderId="1" xfId="0" applyNumberFormat="1" applyFont="1" applyFill="1" applyBorder="1" applyAlignment="1">
      <alignment horizontal="center" vertical="center" wrapText="1"/>
    </xf>
    <xf numFmtId="167" fontId="3" fillId="11" borderId="0" xfId="0" applyNumberFormat="1" applyFont="1" applyFill="1" applyAlignment="1">
      <alignment horizontal="center" vertical="center" wrapText="1"/>
    </xf>
    <xf numFmtId="167" fontId="9" fillId="11" borderId="1" xfId="1" applyNumberFormat="1" applyFont="1" applyFill="1" applyBorder="1" applyAlignment="1">
      <alignment horizontal="center" vertical="center" wrapText="1"/>
    </xf>
    <xf numFmtId="167" fontId="11" fillId="10" borderId="1" xfId="0" applyNumberFormat="1" applyFont="1" applyFill="1" applyBorder="1" applyAlignment="1">
      <alignment horizontal="center" vertical="center" wrapText="1"/>
    </xf>
    <xf numFmtId="167" fontId="3" fillId="0" borderId="0" xfId="1" applyNumberFormat="1" applyFont="1" applyAlignment="1">
      <alignment horizontal="center" vertical="center" wrapText="1"/>
    </xf>
    <xf numFmtId="167" fontId="5" fillId="2" borderId="0" xfId="0" applyNumberFormat="1" applyFont="1" applyFill="1" applyAlignment="1">
      <alignment horizontal="center" vertical="center" wrapText="1"/>
    </xf>
    <xf numFmtId="167" fontId="3" fillId="0" borderId="1" xfId="1" applyNumberFormat="1" applyFont="1" applyFill="1" applyBorder="1" applyAlignment="1" applyProtection="1">
      <alignment horizontal="right" vertical="center" wrapText="1"/>
      <protection locked="0"/>
    </xf>
    <xf numFmtId="167" fontId="3" fillId="5" borderId="1" xfId="1" applyNumberFormat="1" applyFont="1" applyFill="1" applyBorder="1" applyAlignment="1" applyProtection="1">
      <alignment horizontal="right" vertical="center" wrapText="1"/>
      <protection locked="0"/>
    </xf>
    <xf numFmtId="167" fontId="3" fillId="11" borderId="1" xfId="1" applyNumberFormat="1" applyFont="1" applyFill="1" applyBorder="1" applyAlignment="1" applyProtection="1">
      <alignment horizontal="right" vertical="center" wrapText="1"/>
      <protection locked="0"/>
    </xf>
    <xf numFmtId="167" fontId="4" fillId="2" borderId="5" xfId="0" applyNumberFormat="1" applyFont="1" applyFill="1" applyBorder="1" applyAlignment="1">
      <alignment horizontal="right" vertical="center" wrapText="1"/>
    </xf>
    <xf numFmtId="167" fontId="3" fillId="2" borderId="1" xfId="1" applyNumberFormat="1" applyFont="1" applyFill="1" applyBorder="1" applyAlignment="1" applyProtection="1">
      <alignment horizontal="right" vertical="center" wrapText="1"/>
      <protection locked="0"/>
    </xf>
    <xf numFmtId="167" fontId="11" fillId="2" borderId="1" xfId="1" applyNumberFormat="1" applyFont="1" applyFill="1" applyBorder="1" applyAlignment="1" applyProtection="1">
      <alignment horizontal="right" vertical="center" wrapText="1"/>
      <protection locked="0"/>
    </xf>
    <xf numFmtId="167" fontId="4" fillId="11" borderId="5" xfId="0" applyNumberFormat="1" applyFont="1" applyFill="1" applyBorder="1" applyAlignment="1">
      <alignment horizontal="right" vertical="center" wrapText="1"/>
    </xf>
    <xf numFmtId="167" fontId="11" fillId="11" borderId="1" xfId="1" applyNumberFormat="1" applyFont="1" applyFill="1" applyBorder="1" applyAlignment="1" applyProtection="1">
      <alignment horizontal="right" vertical="center" wrapText="1"/>
      <protection locked="0"/>
    </xf>
    <xf numFmtId="167" fontId="11" fillId="0" borderId="1" xfId="1" applyNumberFormat="1" applyFont="1" applyFill="1" applyBorder="1" applyAlignment="1" applyProtection="1">
      <alignment horizontal="right" vertical="center" wrapText="1"/>
      <protection locked="0"/>
    </xf>
    <xf numFmtId="167" fontId="10" fillId="0" borderId="5" xfId="0" applyNumberFormat="1" applyFont="1" applyBorder="1" applyAlignment="1">
      <alignment horizontal="right"/>
    </xf>
    <xf numFmtId="167" fontId="3" fillId="0" borderId="0" xfId="0" applyNumberFormat="1" applyFont="1" applyAlignment="1">
      <alignment horizontal="right" vertical="center" wrapText="1"/>
    </xf>
    <xf numFmtId="167" fontId="10" fillId="0" borderId="11" xfId="1" applyNumberFormat="1" applyFont="1" applyBorder="1" applyAlignment="1">
      <alignment horizontal="right"/>
    </xf>
    <xf numFmtId="167" fontId="3" fillId="2" borderId="2" xfId="0" applyNumberFormat="1" applyFont="1" applyFill="1" applyBorder="1" applyAlignment="1" applyProtection="1">
      <alignment horizontal="right" wrapText="1"/>
      <protection locked="0"/>
    </xf>
    <xf numFmtId="167" fontId="3" fillId="0" borderId="0" xfId="0" applyNumberFormat="1" applyFont="1" applyAlignment="1">
      <alignment horizontal="right" wrapText="1"/>
    </xf>
    <xf numFmtId="167" fontId="10" fillId="0" borderId="11" xfId="0" applyNumberFormat="1" applyFont="1" applyBorder="1" applyAlignment="1">
      <alignment horizontal="right"/>
    </xf>
    <xf numFmtId="0" fontId="3" fillId="5" borderId="1" xfId="0" applyFont="1" applyFill="1" applyBorder="1" applyAlignment="1">
      <alignment wrapText="1"/>
    </xf>
    <xf numFmtId="0" fontId="8" fillId="0" borderId="0" xfId="0" applyFont="1" applyAlignment="1">
      <alignment horizontal="center" vertical="center" wrapText="1"/>
    </xf>
    <xf numFmtId="167" fontId="4" fillId="10" borderId="1" xfId="0" applyNumberFormat="1" applyFont="1" applyFill="1" applyBorder="1" applyAlignment="1">
      <alignment horizontal="right" vertical="center" wrapText="1"/>
    </xf>
    <xf numFmtId="167" fontId="5" fillId="11" borderId="8" xfId="0" applyNumberFormat="1" applyFont="1" applyFill="1" applyBorder="1" applyAlignment="1">
      <alignment horizontal="center" vertical="center" wrapText="1"/>
    </xf>
    <xf numFmtId="167" fontId="5" fillId="11" borderId="10" xfId="0" applyNumberFormat="1" applyFont="1" applyFill="1" applyBorder="1" applyAlignment="1">
      <alignment horizontal="center" vertical="center" wrapText="1"/>
    </xf>
    <xf numFmtId="167" fontId="12" fillId="0" borderId="1" xfId="1" applyNumberFormat="1" applyFont="1" applyFill="1" applyBorder="1" applyAlignment="1" applyProtection="1">
      <alignment horizontal="right" vertical="center" wrapText="1"/>
      <protection locked="0"/>
    </xf>
    <xf numFmtId="49" fontId="3" fillId="11" borderId="1" xfId="1" applyNumberFormat="1" applyFont="1" applyFill="1" applyBorder="1" applyAlignment="1" applyProtection="1">
      <alignment horizontal="center" vertical="center" wrapText="1"/>
      <protection locked="0"/>
    </xf>
    <xf numFmtId="167" fontId="3" fillId="5" borderId="6" xfId="1" applyNumberFormat="1" applyFont="1" applyFill="1" applyBorder="1" applyAlignment="1" applyProtection="1">
      <alignment horizontal="right" vertical="center" wrapText="1"/>
      <protection locked="0"/>
    </xf>
    <xf numFmtId="167" fontId="3" fillId="0" borderId="6" xfId="1" applyNumberFormat="1" applyFont="1" applyFill="1" applyBorder="1" applyAlignment="1" applyProtection="1">
      <alignment horizontal="right" vertical="center" wrapText="1"/>
      <protection locked="0"/>
    </xf>
    <xf numFmtId="4" fontId="3" fillId="0" borderId="0" xfId="0" applyNumberFormat="1" applyFont="1" applyAlignment="1">
      <alignment vertical="center" wrapText="1"/>
    </xf>
    <xf numFmtId="165" fontId="12" fillId="2" borderId="1" xfId="0" applyNumberFormat="1" applyFont="1" applyFill="1" applyBorder="1" applyAlignment="1" applyProtection="1">
      <alignment vertical="center" wrapText="1"/>
      <protection locked="0"/>
    </xf>
    <xf numFmtId="0" fontId="12" fillId="0" borderId="0" xfId="0" applyFont="1" applyAlignment="1">
      <alignment wrapText="1"/>
    </xf>
    <xf numFmtId="0" fontId="12" fillId="2" borderId="0" xfId="0" applyFont="1" applyFill="1" applyAlignment="1">
      <alignment vertical="center" wrapText="1"/>
    </xf>
    <xf numFmtId="0" fontId="19" fillId="0" borderId="0" xfId="0" applyFont="1"/>
    <xf numFmtId="0" fontId="12" fillId="0" borderId="0" xfId="0" applyFont="1" applyAlignment="1">
      <alignment vertical="center" wrapText="1"/>
    </xf>
    <xf numFmtId="165" fontId="11" fillId="6" borderId="1" xfId="0" applyNumberFormat="1" applyFont="1" applyFill="1" applyBorder="1" applyAlignment="1">
      <alignment vertical="center" wrapText="1"/>
    </xf>
    <xf numFmtId="164" fontId="11" fillId="2" borderId="1" xfId="0" applyNumberFormat="1"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164" fontId="3" fillId="0" borderId="1" xfId="0" applyNumberFormat="1" applyFont="1" applyBorder="1" applyAlignment="1" applyProtection="1">
      <alignment vertical="center" wrapText="1"/>
      <protection locked="0"/>
    </xf>
    <xf numFmtId="165" fontId="3" fillId="0" borderId="1" xfId="0" applyNumberFormat="1" applyFont="1" applyBorder="1" applyAlignment="1" applyProtection="1">
      <alignment vertical="center" wrapText="1"/>
      <protection locked="0"/>
    </xf>
    <xf numFmtId="0" fontId="3" fillId="5" borderId="8"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0" fontId="7" fillId="0" borderId="0" xfId="0" applyFont="1" applyAlignment="1">
      <alignment wrapText="1"/>
    </xf>
    <xf numFmtId="0" fontId="10" fillId="0" borderId="0" xfId="0" applyFont="1" applyAlignment="1">
      <alignment horizontal="center"/>
    </xf>
    <xf numFmtId="0" fontId="9" fillId="0" borderId="5" xfId="0" applyFont="1" applyBorder="1" applyAlignment="1">
      <alignment horizontal="right" vertical="center" wrapText="1"/>
    </xf>
    <xf numFmtId="167" fontId="9" fillId="0" borderId="5" xfId="1" applyNumberFormat="1" applyFont="1" applyFill="1" applyBorder="1" applyAlignment="1">
      <alignment horizontal="right" vertical="center" wrapText="1"/>
    </xf>
    <xf numFmtId="164" fontId="9" fillId="0" borderId="5" xfId="1" applyFont="1" applyFill="1" applyBorder="1" applyAlignment="1">
      <alignment horizontal="right" vertical="center" wrapText="1"/>
    </xf>
    <xf numFmtId="167" fontId="9" fillId="0" borderId="0" xfId="1" applyNumberFormat="1" applyFont="1" applyFill="1" applyBorder="1" applyAlignment="1">
      <alignment horizontal="center" vertical="center" wrapText="1"/>
    </xf>
    <xf numFmtId="167" fontId="11" fillId="5" borderId="1" xfId="1" applyNumberFormat="1" applyFont="1" applyFill="1" applyBorder="1" applyAlignment="1" applyProtection="1">
      <alignment horizontal="right" vertical="center" wrapText="1"/>
      <protection locked="0"/>
    </xf>
    <xf numFmtId="0" fontId="3" fillId="7" borderId="0" xfId="0" applyFont="1" applyFill="1" applyAlignment="1">
      <alignment wrapText="1"/>
    </xf>
    <xf numFmtId="0" fontId="11" fillId="7" borderId="1" xfId="0" applyFont="1" applyFill="1" applyBorder="1" applyAlignment="1" applyProtection="1">
      <alignment vertical="center" wrapText="1"/>
      <protection locked="0"/>
    </xf>
    <xf numFmtId="167" fontId="3" fillId="7" borderId="1" xfId="1" applyNumberFormat="1" applyFont="1" applyFill="1" applyBorder="1" applyAlignment="1" applyProtection="1">
      <alignment horizontal="right" vertical="center" wrapText="1"/>
      <protection locked="0"/>
    </xf>
    <xf numFmtId="167" fontId="11" fillId="7" borderId="1" xfId="1" applyNumberFormat="1" applyFont="1" applyFill="1" applyBorder="1" applyAlignment="1" applyProtection="1">
      <alignment horizontal="right" vertical="center" wrapText="1"/>
      <protection locked="0"/>
    </xf>
    <xf numFmtId="164" fontId="3" fillId="7" borderId="1" xfId="0" applyNumberFormat="1" applyFont="1" applyFill="1" applyBorder="1" applyAlignment="1" applyProtection="1">
      <alignment vertical="center" wrapText="1"/>
      <protection locked="0"/>
    </xf>
    <xf numFmtId="165" fontId="3" fillId="7" borderId="1" xfId="0" applyNumberFormat="1" applyFont="1" applyFill="1" applyBorder="1" applyAlignment="1" applyProtection="1">
      <alignment vertical="center" wrapText="1"/>
      <protection locked="0"/>
    </xf>
    <xf numFmtId="0" fontId="3" fillId="7" borderId="1" xfId="0" applyFont="1" applyFill="1" applyBorder="1" applyAlignment="1">
      <alignment horizontal="center" vertical="center" wrapText="1"/>
    </xf>
    <xf numFmtId="167" fontId="3" fillId="7" borderId="1" xfId="0" applyNumberFormat="1" applyFont="1" applyFill="1" applyBorder="1" applyAlignment="1">
      <alignment horizontal="center" vertical="center" wrapText="1"/>
    </xf>
    <xf numFmtId="0" fontId="4" fillId="2" borderId="11" xfId="0" applyFont="1" applyFill="1" applyBorder="1" applyAlignment="1">
      <alignment horizontal="left" vertical="center" wrapText="1"/>
    </xf>
    <xf numFmtId="0" fontId="2"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5" fillId="2" borderId="0" xfId="0" applyFont="1" applyFill="1" applyAlignment="1" applyProtection="1">
      <alignment vertical="center" wrapText="1"/>
      <protection locked="0"/>
    </xf>
    <xf numFmtId="0" fontId="4" fillId="2" borderId="0" xfId="0" applyFont="1" applyFill="1" applyAlignment="1" applyProtection="1">
      <alignment vertical="center" wrapText="1"/>
      <protection locked="0"/>
    </xf>
    <xf numFmtId="0" fontId="10" fillId="0" borderId="2" xfId="0" applyFont="1" applyBorder="1" applyAlignment="1">
      <alignment horizontal="center"/>
    </xf>
    <xf numFmtId="164" fontId="9" fillId="11" borderId="8" xfId="1" applyFont="1" applyFill="1" applyBorder="1" applyAlignment="1">
      <alignment horizontal="right" vertical="center" wrapText="1"/>
    </xf>
    <xf numFmtId="164" fontId="9" fillId="0" borderId="2" xfId="1" applyFont="1" applyFill="1" applyBorder="1" applyAlignment="1">
      <alignment horizontal="right" vertical="center" wrapText="1"/>
    </xf>
    <xf numFmtId="9" fontId="3" fillId="7" borderId="1" xfId="2" applyFont="1" applyFill="1" applyBorder="1" applyAlignment="1" applyProtection="1">
      <alignment horizontal="center" vertical="center" wrapText="1"/>
      <protection locked="0"/>
    </xf>
    <xf numFmtId="167" fontId="3" fillId="0" borderId="0" xfId="0" applyNumberFormat="1" applyFont="1" applyAlignment="1">
      <alignment wrapText="1"/>
    </xf>
    <xf numFmtId="164" fontId="12" fillId="0" borderId="1" xfId="0" applyNumberFormat="1" applyFont="1" applyBorder="1" applyAlignment="1" applyProtection="1">
      <alignment vertical="center" wrapText="1"/>
      <protection locked="0"/>
    </xf>
    <xf numFmtId="165" fontId="12" fillId="0" borderId="1" xfId="0" applyNumberFormat="1" applyFont="1" applyBorder="1" applyAlignment="1" applyProtection="1">
      <alignment vertical="center" wrapText="1"/>
      <protection locked="0"/>
    </xf>
    <xf numFmtId="0" fontId="5" fillId="12" borderId="5" xfId="0" applyFont="1" applyFill="1" applyBorder="1" applyAlignment="1" applyProtection="1">
      <alignment horizontal="left" vertical="center" wrapText="1"/>
      <protection locked="0"/>
    </xf>
    <xf numFmtId="0" fontId="5" fillId="12" borderId="5" xfId="0" applyFont="1" applyFill="1" applyBorder="1" applyAlignment="1" applyProtection="1">
      <alignment vertical="center" wrapText="1"/>
      <protection locked="0"/>
    </xf>
    <xf numFmtId="0" fontId="5" fillId="12" borderId="6" xfId="0" applyFont="1" applyFill="1" applyBorder="1" applyAlignment="1" applyProtection="1">
      <alignment vertical="center" wrapText="1"/>
      <protection locked="0"/>
    </xf>
    <xf numFmtId="0" fontId="3" fillId="12" borderId="0" xfId="0" applyFont="1" applyFill="1" applyAlignment="1">
      <alignment horizontal="center" vertical="center" wrapText="1"/>
    </xf>
    <xf numFmtId="167" fontId="3" fillId="12" borderId="0" xfId="0" applyNumberFormat="1" applyFont="1" applyFill="1" applyAlignment="1">
      <alignment horizontal="center" vertical="center" wrapText="1"/>
    </xf>
    <xf numFmtId="0" fontId="3" fillId="12" borderId="0" xfId="0" applyFont="1" applyFill="1" applyAlignment="1">
      <alignment wrapText="1"/>
    </xf>
    <xf numFmtId="0" fontId="6" fillId="12" borderId="0" xfId="0" applyFont="1" applyFill="1"/>
    <xf numFmtId="0" fontId="3" fillId="12" borderId="0" xfId="0" applyFont="1" applyFill="1" applyAlignment="1">
      <alignment vertical="center" wrapText="1"/>
    </xf>
    <xf numFmtId="0" fontId="4" fillId="12" borderId="5" xfId="0" applyFont="1" applyFill="1" applyBorder="1" applyAlignment="1" applyProtection="1">
      <alignment vertical="center" wrapText="1"/>
      <protection locked="0"/>
    </xf>
    <xf numFmtId="0" fontId="4" fillId="12" borderId="6" xfId="0" applyFont="1" applyFill="1" applyBorder="1" applyAlignment="1" applyProtection="1">
      <alignment vertical="center" wrapText="1"/>
      <protection locked="0"/>
    </xf>
    <xf numFmtId="0" fontId="5" fillId="12" borderId="5" xfId="0" applyFont="1" applyFill="1" applyBorder="1" applyAlignment="1" applyProtection="1">
      <alignment horizontal="center" vertical="center" wrapText="1"/>
      <protection locked="0"/>
    </xf>
    <xf numFmtId="167" fontId="4" fillId="12" borderId="5" xfId="0" applyNumberFormat="1" applyFont="1" applyFill="1" applyBorder="1" applyAlignment="1">
      <alignment horizontal="right" vertical="center" wrapText="1"/>
    </xf>
    <xf numFmtId="0" fontId="4" fillId="12" borderId="5" xfId="0" applyFont="1" applyFill="1" applyBorder="1" applyAlignment="1">
      <alignment horizontal="left" vertical="center" wrapText="1"/>
    </xf>
    <xf numFmtId="0" fontId="5" fillId="12" borderId="1" xfId="0" applyFont="1" applyFill="1" applyBorder="1" applyAlignment="1">
      <alignment horizontal="center" vertical="center" wrapText="1"/>
    </xf>
    <xf numFmtId="9" fontId="11" fillId="12" borderId="1" xfId="0" applyNumberFormat="1" applyFont="1" applyFill="1" applyBorder="1" applyAlignment="1" applyProtection="1">
      <alignment horizontal="center" vertical="center" wrapText="1"/>
      <protection locked="0"/>
    </xf>
    <xf numFmtId="0" fontId="11" fillId="12" borderId="1" xfId="0" applyFont="1" applyFill="1" applyBorder="1" applyAlignment="1" applyProtection="1">
      <alignment vertical="center" wrapText="1"/>
      <protection locked="0"/>
    </xf>
    <xf numFmtId="167" fontId="3" fillId="12" borderId="1" xfId="1" applyNumberFormat="1" applyFont="1" applyFill="1" applyBorder="1" applyAlignment="1" applyProtection="1">
      <alignment horizontal="right" vertical="center" wrapText="1"/>
      <protection locked="0"/>
    </xf>
    <xf numFmtId="167" fontId="12" fillId="12" borderId="1" xfId="1" applyNumberFormat="1" applyFont="1" applyFill="1" applyBorder="1" applyAlignment="1" applyProtection="1">
      <alignment horizontal="right" vertical="center" wrapText="1"/>
      <protection locked="0"/>
    </xf>
    <xf numFmtId="167" fontId="11" fillId="12" borderId="1" xfId="1" applyNumberFormat="1" applyFont="1" applyFill="1" applyBorder="1" applyAlignment="1" applyProtection="1">
      <alignment horizontal="right" vertical="center" wrapText="1"/>
      <protection locked="0"/>
    </xf>
    <xf numFmtId="165" fontId="3" fillId="12" borderId="1" xfId="0" applyNumberFormat="1" applyFont="1" applyFill="1" applyBorder="1" applyAlignment="1">
      <alignment vertical="center" wrapText="1"/>
    </xf>
    <xf numFmtId="164" fontId="3" fillId="12" borderId="1" xfId="0" applyNumberFormat="1" applyFont="1" applyFill="1" applyBorder="1" applyAlignment="1" applyProtection="1">
      <alignment vertical="center" wrapText="1"/>
      <protection locked="0"/>
    </xf>
    <xf numFmtId="165" fontId="3" fillId="12" borderId="1" xfId="0" applyNumberFormat="1" applyFont="1" applyFill="1" applyBorder="1" applyAlignment="1" applyProtection="1">
      <alignment vertical="center" wrapText="1"/>
      <protection locked="0"/>
    </xf>
    <xf numFmtId="0" fontId="3" fillId="12" borderId="1" xfId="0" applyFont="1" applyFill="1" applyBorder="1" applyAlignment="1">
      <alignment horizontal="center" vertical="center" wrapText="1"/>
    </xf>
    <xf numFmtId="167" fontId="3" fillId="12" borderId="1" xfId="0" applyNumberFormat="1" applyFont="1" applyFill="1" applyBorder="1" applyAlignment="1">
      <alignment horizontal="center" vertical="center" wrapText="1"/>
    </xf>
    <xf numFmtId="4" fontId="3" fillId="12" borderId="0" xfId="0" applyNumberFormat="1" applyFont="1" applyFill="1" applyAlignment="1">
      <alignment wrapText="1"/>
    </xf>
    <xf numFmtId="167" fontId="3" fillId="12" borderId="6" xfId="1" applyNumberFormat="1" applyFont="1" applyFill="1" applyBorder="1" applyAlignment="1" applyProtection="1">
      <alignment horizontal="right" vertical="center" wrapText="1"/>
      <protection locked="0"/>
    </xf>
    <xf numFmtId="167" fontId="12" fillId="12" borderId="6" xfId="1" applyNumberFormat="1" applyFont="1" applyFill="1" applyBorder="1" applyAlignment="1" applyProtection="1">
      <alignment horizontal="right" vertical="center" wrapText="1"/>
      <protection locked="0"/>
    </xf>
    <xf numFmtId="0" fontId="7" fillId="12" borderId="1" xfId="0" applyFont="1" applyFill="1" applyBorder="1" applyAlignment="1" applyProtection="1">
      <alignment vertical="center" wrapText="1"/>
      <protection locked="0"/>
    </xf>
    <xf numFmtId="1" fontId="3" fillId="12" borderId="1" xfId="2" applyNumberFormat="1" applyFont="1" applyFill="1" applyBorder="1" applyAlignment="1" applyProtection="1">
      <alignment horizontal="center" vertical="center" wrapText="1"/>
      <protection locked="0"/>
    </xf>
    <xf numFmtId="43" fontId="4" fillId="12" borderId="0" xfId="0" applyNumberFormat="1" applyFont="1" applyFill="1" applyAlignment="1">
      <alignment vertical="center" wrapText="1"/>
    </xf>
    <xf numFmtId="0" fontId="4" fillId="12" borderId="0" xfId="0" applyFont="1" applyFill="1" applyAlignment="1">
      <alignment vertical="center" wrapText="1"/>
    </xf>
    <xf numFmtId="167" fontId="9" fillId="4" borderId="8" xfId="1" applyNumberFormat="1" applyFont="1" applyFill="1" applyBorder="1" applyAlignment="1">
      <alignment horizontal="right" vertical="center" wrapText="1"/>
    </xf>
    <xf numFmtId="164" fontId="9" fillId="4" borderId="8" xfId="1" applyFont="1" applyFill="1" applyBorder="1" applyAlignment="1">
      <alignment horizontal="right" vertical="center" wrapText="1"/>
    </xf>
    <xf numFmtId="0" fontId="5" fillId="11" borderId="11" xfId="0" applyFont="1" applyFill="1" applyBorder="1" applyAlignment="1" applyProtection="1">
      <alignment horizontal="center" vertical="center" wrapText="1"/>
      <protection locked="0"/>
    </xf>
    <xf numFmtId="0" fontId="5" fillId="11" borderId="11" xfId="0" applyFont="1" applyFill="1" applyBorder="1" applyAlignment="1" applyProtection="1">
      <alignment horizontal="left" vertical="center" wrapText="1"/>
      <protection locked="0"/>
    </xf>
    <xf numFmtId="167" fontId="4" fillId="11" borderId="11" xfId="0" applyNumberFormat="1" applyFont="1" applyFill="1" applyBorder="1" applyAlignment="1">
      <alignment horizontal="right" vertical="center" wrapText="1"/>
    </xf>
    <xf numFmtId="0" fontId="4" fillId="11" borderId="11" xfId="0" applyFont="1" applyFill="1" applyBorder="1" applyAlignment="1">
      <alignment horizontal="left" vertical="center" wrapText="1"/>
    </xf>
    <xf numFmtId="0" fontId="5" fillId="11" borderId="11" xfId="0" applyFont="1" applyFill="1" applyBorder="1" applyAlignment="1" applyProtection="1">
      <alignment vertical="center" wrapText="1"/>
      <protection locked="0"/>
    </xf>
    <xf numFmtId="0" fontId="5" fillId="11" borderId="12" xfId="0" applyFont="1" applyFill="1" applyBorder="1" applyAlignment="1" applyProtection="1">
      <alignment vertical="center" wrapText="1"/>
      <protection locked="0"/>
    </xf>
    <xf numFmtId="167" fontId="9" fillId="12" borderId="8" xfId="1" applyNumberFormat="1" applyFont="1" applyFill="1" applyBorder="1" applyAlignment="1">
      <alignment horizontal="right" vertical="center" wrapText="1"/>
    </xf>
    <xf numFmtId="164" fontId="9" fillId="12" borderId="8" xfId="1" applyFont="1" applyFill="1" applyBorder="1" applyAlignment="1">
      <alignment horizontal="right" vertical="center" wrapText="1"/>
    </xf>
    <xf numFmtId="167" fontId="9" fillId="12" borderId="8" xfId="1" applyNumberFormat="1" applyFont="1" applyFill="1" applyBorder="1" applyAlignment="1">
      <alignment horizontal="center" vertical="center" wrapText="1"/>
    </xf>
    <xf numFmtId="0" fontId="9" fillId="0" borderId="0" xfId="0" applyFont="1" applyAlignment="1">
      <alignment horizontal="right" vertical="center" wrapText="1"/>
    </xf>
    <xf numFmtId="167" fontId="9" fillId="0" borderId="0" xfId="1" applyNumberFormat="1" applyFont="1" applyFill="1" applyBorder="1" applyAlignment="1">
      <alignment horizontal="right" vertical="center" wrapText="1"/>
    </xf>
    <xf numFmtId="0" fontId="5" fillId="0" borderId="0" xfId="0" applyFont="1" applyAlignment="1">
      <alignment vertical="center" wrapText="1"/>
    </xf>
    <xf numFmtId="0" fontId="3" fillId="0" borderId="0" xfId="0" applyFont="1" applyAlignment="1" applyProtection="1">
      <alignment wrapText="1"/>
      <protection locked="0"/>
    </xf>
    <xf numFmtId="0" fontId="3" fillId="0" borderId="0" xfId="0" applyFont="1" applyAlignment="1" applyProtection="1">
      <alignment horizontal="left" wrapText="1"/>
      <protection locked="0"/>
    </xf>
    <xf numFmtId="0" fontId="11" fillId="0" borderId="0" xfId="0" applyFont="1" applyAlignment="1">
      <alignment vertical="center" wrapText="1"/>
    </xf>
    <xf numFmtId="9" fontId="3" fillId="5" borderId="1" xfId="0" applyNumberFormat="1" applyFont="1" applyFill="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167" fontId="11" fillId="0" borderId="6" xfId="1" applyNumberFormat="1" applyFont="1" applyFill="1" applyBorder="1" applyAlignment="1" applyProtection="1">
      <alignment horizontal="right" vertical="center" wrapText="1"/>
      <protection locked="0"/>
    </xf>
    <xf numFmtId="167" fontId="11" fillId="5" borderId="6" xfId="1" applyNumberFormat="1" applyFont="1" applyFill="1" applyBorder="1" applyAlignment="1" applyProtection="1">
      <alignment horizontal="right" vertical="center" wrapText="1"/>
      <protection locked="0"/>
    </xf>
    <xf numFmtId="0" fontId="5" fillId="4" borderId="4" xfId="0" applyFont="1" applyFill="1" applyBorder="1" applyAlignment="1" applyProtection="1">
      <alignment horizontal="left" vertical="center" wrapText="1"/>
      <protection locked="0"/>
    </xf>
    <xf numFmtId="0" fontId="5" fillId="4" borderId="5"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9" fillId="4" borderId="5" xfId="0" applyFont="1" applyFill="1" applyBorder="1" applyAlignment="1">
      <alignment horizontal="right" vertical="center" wrapText="1"/>
    </xf>
    <xf numFmtId="167" fontId="5" fillId="4" borderId="7" xfId="0" applyNumberFormat="1" applyFont="1" applyFill="1" applyBorder="1" applyAlignment="1">
      <alignment horizontal="center" vertical="center" wrapText="1"/>
    </xf>
    <xf numFmtId="167" fontId="5" fillId="4" borderId="9" xfId="0" applyNumberFormat="1" applyFont="1" applyFill="1" applyBorder="1" applyAlignment="1">
      <alignment horizontal="center" vertical="center" wrapText="1"/>
    </xf>
    <xf numFmtId="164" fontId="9" fillId="9" borderId="4" xfId="1" applyFont="1" applyFill="1" applyBorder="1" applyAlignment="1">
      <alignment horizontal="right" vertical="center" wrapText="1"/>
    </xf>
    <xf numFmtId="164" fontId="9" fillId="9" borderId="6" xfId="1" applyFont="1" applyFill="1" applyBorder="1" applyAlignment="1">
      <alignment horizontal="right" vertical="center" wrapText="1"/>
    </xf>
    <xf numFmtId="0" fontId="5" fillId="9" borderId="8"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10" xfId="0" applyFont="1" applyFill="1" applyBorder="1" applyAlignment="1">
      <alignment horizontal="center" vertical="center" wrapText="1"/>
    </xf>
    <xf numFmtId="167" fontId="5" fillId="9" borderId="3" xfId="0" applyNumberFormat="1" applyFont="1" applyFill="1" applyBorder="1" applyAlignment="1">
      <alignment horizontal="center" vertical="center" wrapText="1"/>
    </xf>
    <xf numFmtId="167" fontId="5" fillId="9" borderId="13" xfId="0" applyNumberFormat="1" applyFont="1" applyFill="1" applyBorder="1" applyAlignment="1">
      <alignment horizontal="center" vertical="center" wrapText="1"/>
    </xf>
    <xf numFmtId="167" fontId="5" fillId="9" borderId="12"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0" fillId="0" borderId="5" xfId="0" applyFont="1" applyBorder="1" applyAlignment="1">
      <alignment horizontal="center"/>
    </xf>
    <xf numFmtId="0" fontId="10" fillId="0" borderId="2" xfId="0" applyFont="1" applyBorder="1" applyAlignment="1">
      <alignment horizontal="center"/>
    </xf>
    <xf numFmtId="0" fontId="5" fillId="12" borderId="4" xfId="0" applyFont="1" applyFill="1" applyBorder="1" applyAlignment="1" applyProtection="1">
      <alignment horizontal="left" vertical="center" wrapText="1"/>
      <protection locked="0"/>
    </xf>
    <xf numFmtId="0" fontId="5" fillId="12" borderId="5" xfId="0" applyFont="1" applyFill="1" applyBorder="1" applyAlignment="1" applyProtection="1">
      <alignment horizontal="left" vertical="center" wrapText="1"/>
      <protection locked="0"/>
    </xf>
    <xf numFmtId="0" fontId="5" fillId="12" borderId="4" xfId="0" applyFont="1" applyFill="1" applyBorder="1" applyAlignment="1">
      <alignment horizontal="center" vertical="center" wrapText="1"/>
    </xf>
    <xf numFmtId="0" fontId="5" fillId="12" borderId="5" xfId="0" applyFont="1" applyFill="1" applyBorder="1" applyAlignment="1">
      <alignment horizontal="center" vertical="center" wrapText="1"/>
    </xf>
    <xf numFmtId="167" fontId="5" fillId="12" borderId="7" xfId="0" applyNumberFormat="1" applyFont="1" applyFill="1" applyBorder="1" applyAlignment="1">
      <alignment horizontal="center" vertical="center" wrapText="1"/>
    </xf>
    <xf numFmtId="167" fontId="5" fillId="12" borderId="9" xfId="0" applyNumberFormat="1" applyFont="1" applyFill="1" applyBorder="1" applyAlignment="1">
      <alignment horizontal="center" vertical="center" wrapText="1"/>
    </xf>
    <xf numFmtId="0" fontId="5" fillId="12" borderId="7" xfId="0" applyFont="1" applyFill="1" applyBorder="1" applyAlignment="1">
      <alignment horizontal="center" vertical="center" wrapText="1"/>
    </xf>
    <xf numFmtId="0" fontId="5" fillId="12" borderId="9" xfId="0" applyFont="1" applyFill="1" applyBorder="1" applyAlignment="1">
      <alignment horizontal="center" vertical="center" wrapText="1"/>
    </xf>
    <xf numFmtId="167" fontId="5" fillId="4" borderId="8" xfId="0" applyNumberFormat="1" applyFont="1" applyFill="1" applyBorder="1" applyAlignment="1">
      <alignment horizontal="center" vertical="center" wrapText="1"/>
    </xf>
    <xf numFmtId="167" fontId="5" fillId="4" borderId="10" xfId="0" applyNumberFormat="1" applyFont="1" applyFill="1" applyBorder="1" applyAlignment="1">
      <alignment horizontal="center" vertical="center" wrapText="1"/>
    </xf>
    <xf numFmtId="0" fontId="10" fillId="0" borderId="11" xfId="0" applyFont="1" applyBorder="1" applyAlignment="1">
      <alignment horizontal="center"/>
    </xf>
    <xf numFmtId="0" fontId="10" fillId="0" borderId="0" xfId="0" applyFont="1" applyAlignment="1">
      <alignment horizontal="center"/>
    </xf>
    <xf numFmtId="0" fontId="9" fillId="4" borderId="2" xfId="0" applyFont="1" applyFill="1" applyBorder="1" applyAlignment="1">
      <alignment horizontal="right" vertical="center" wrapText="1"/>
    </xf>
    <xf numFmtId="167" fontId="5" fillId="9" borderId="8" xfId="0" applyNumberFormat="1" applyFont="1" applyFill="1" applyBorder="1" applyAlignment="1">
      <alignment horizontal="center" vertical="center" wrapText="1"/>
    </xf>
    <xf numFmtId="167" fontId="5" fillId="9" borderId="14" xfId="0" applyNumberFormat="1" applyFont="1" applyFill="1" applyBorder="1" applyAlignment="1">
      <alignment horizontal="center" vertical="center" wrapText="1"/>
    </xf>
    <xf numFmtId="167" fontId="5" fillId="9" borderId="10" xfId="0" applyNumberFormat="1" applyFont="1" applyFill="1" applyBorder="1" applyAlignment="1">
      <alignment horizontal="center" vertical="center" wrapText="1"/>
    </xf>
    <xf numFmtId="167" fontId="5" fillId="9" borderId="1" xfId="0" applyNumberFormat="1" applyFont="1" applyFill="1" applyBorder="1" applyAlignment="1">
      <alignment horizontal="center" vertical="center" wrapText="1"/>
    </xf>
    <xf numFmtId="0" fontId="9" fillId="11" borderId="5" xfId="0" applyFont="1" applyFill="1" applyBorder="1" applyAlignment="1">
      <alignment horizontal="right" vertical="center" wrapText="1"/>
    </xf>
    <xf numFmtId="0" fontId="9" fillId="11" borderId="6" xfId="0" applyFont="1" applyFill="1" applyBorder="1" applyAlignment="1">
      <alignment horizontal="right" vertical="center" wrapText="1"/>
    </xf>
    <xf numFmtId="0" fontId="5" fillId="11" borderId="4"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1" borderId="14" xfId="0" applyFont="1" applyFill="1" applyBorder="1" applyAlignment="1">
      <alignment horizontal="center" vertical="center" wrapText="1"/>
    </xf>
    <xf numFmtId="0" fontId="5" fillId="11" borderId="10" xfId="0" applyFont="1" applyFill="1" applyBorder="1" applyAlignment="1">
      <alignment horizontal="center" vertical="center" wrapText="1"/>
    </xf>
    <xf numFmtId="167" fontId="5" fillId="11" borderId="3" xfId="0" applyNumberFormat="1" applyFont="1" applyFill="1" applyBorder="1" applyAlignment="1">
      <alignment horizontal="center" vertical="center" wrapText="1"/>
    </xf>
    <xf numFmtId="167" fontId="5" fillId="11" borderId="13" xfId="0" applyNumberFormat="1" applyFont="1" applyFill="1" applyBorder="1" applyAlignment="1">
      <alignment horizontal="center" vertical="center" wrapText="1"/>
    </xf>
    <xf numFmtId="167" fontId="5" fillId="11" borderId="12" xfId="0" applyNumberFormat="1" applyFont="1" applyFill="1" applyBorder="1" applyAlignment="1">
      <alignment horizontal="center" vertical="center" wrapText="1"/>
    </xf>
    <xf numFmtId="167" fontId="5" fillId="11" borderId="7" xfId="0" applyNumberFormat="1" applyFont="1" applyFill="1" applyBorder="1" applyAlignment="1">
      <alignment horizontal="center" vertical="center" wrapText="1"/>
    </xf>
    <xf numFmtId="167" fontId="5" fillId="11" borderId="9" xfId="0" applyNumberFormat="1" applyFont="1" applyFill="1" applyBorder="1" applyAlignment="1">
      <alignment horizontal="center" vertical="center" wrapText="1"/>
    </xf>
    <xf numFmtId="0" fontId="5" fillId="11" borderId="1"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10" xfId="0" applyFont="1" applyFill="1" applyBorder="1" applyAlignment="1">
      <alignment horizontal="center" vertical="center" wrapText="1"/>
    </xf>
    <xf numFmtId="0" fontId="5" fillId="11" borderId="9" xfId="0" applyFont="1" applyFill="1" applyBorder="1" applyAlignment="1" applyProtection="1">
      <alignment horizontal="left" vertical="center" wrapText="1"/>
      <protection locked="0"/>
    </xf>
    <xf numFmtId="0" fontId="5" fillId="11" borderId="11" xfId="0" applyFont="1" applyFill="1" applyBorder="1" applyAlignment="1" applyProtection="1">
      <alignment horizontal="left" vertical="center" wrapText="1"/>
      <protection locked="0"/>
    </xf>
    <xf numFmtId="0" fontId="7" fillId="11" borderId="11" xfId="0" applyFont="1" applyFill="1" applyBorder="1" applyAlignment="1" applyProtection="1">
      <alignment horizontal="left" vertical="center" wrapText="1"/>
      <protection locked="0"/>
    </xf>
    <xf numFmtId="0" fontId="7" fillId="11" borderId="12" xfId="0" applyFont="1" applyFill="1" applyBorder="1" applyAlignment="1" applyProtection="1">
      <alignment horizontal="left" vertical="center" wrapText="1"/>
      <protection locked="0"/>
    </xf>
    <xf numFmtId="0" fontId="5" fillId="11" borderId="5" xfId="0" applyFont="1" applyFill="1" applyBorder="1" applyAlignment="1" applyProtection="1">
      <alignment horizontal="left" vertical="center" wrapText="1"/>
      <protection locked="0"/>
    </xf>
    <xf numFmtId="0" fontId="7" fillId="11" borderId="5" xfId="0" applyFont="1" applyFill="1" applyBorder="1" applyAlignment="1" applyProtection="1">
      <alignment horizontal="left" vertical="center" wrapText="1"/>
      <protection locked="0"/>
    </xf>
    <xf numFmtId="0" fontId="7" fillId="11" borderId="6" xfId="0" applyFont="1" applyFill="1" applyBorder="1" applyAlignment="1" applyProtection="1">
      <alignment horizontal="left" vertical="center" wrapText="1"/>
      <protection locked="0"/>
    </xf>
    <xf numFmtId="167" fontId="5" fillId="11" borderId="8" xfId="0" applyNumberFormat="1" applyFont="1" applyFill="1" applyBorder="1" applyAlignment="1">
      <alignment horizontal="center" vertical="center" wrapText="1"/>
    </xf>
    <xf numFmtId="167" fontId="5" fillId="11" borderId="10" xfId="0" applyNumberFormat="1" applyFont="1" applyFill="1" applyBorder="1" applyAlignment="1">
      <alignment horizontal="center" vertical="center" wrapText="1"/>
    </xf>
    <xf numFmtId="167" fontId="5" fillId="11" borderId="14" xfId="0" applyNumberFormat="1" applyFont="1" applyFill="1" applyBorder="1" applyAlignment="1">
      <alignment horizontal="center" vertical="center" wrapText="1"/>
    </xf>
    <xf numFmtId="4" fontId="3" fillId="0" borderId="15" xfId="0" applyNumberFormat="1" applyFont="1" applyBorder="1" applyAlignment="1">
      <alignment horizontal="center" wrapText="1"/>
    </xf>
    <xf numFmtId="4" fontId="3" fillId="0" borderId="0" xfId="0" applyNumberFormat="1" applyFont="1" applyAlignment="1">
      <alignment horizontal="center" wrapText="1"/>
    </xf>
    <xf numFmtId="0" fontId="5" fillId="4" borderId="1" xfId="0" applyFont="1" applyFill="1" applyBorder="1" applyAlignment="1">
      <alignment vertical="center" wrapText="1"/>
    </xf>
    <xf numFmtId="0" fontId="18" fillId="0" borderId="1" xfId="0" applyFont="1" applyBorder="1" applyAlignment="1" applyProtection="1">
      <alignment horizontal="center" vertical="center" wrapText="1"/>
      <protection locked="0"/>
    </xf>
    <xf numFmtId="0" fontId="4" fillId="8" borderId="1" xfId="0" applyFont="1" applyFill="1" applyBorder="1" applyAlignment="1">
      <alignment horizontal="left" vertical="center" wrapText="1"/>
    </xf>
    <xf numFmtId="0" fontId="5" fillId="4" borderId="1" xfId="0" applyFont="1" applyFill="1" applyBorder="1" applyAlignment="1" applyProtection="1">
      <alignment horizontal="left" vertical="center" wrapText="1"/>
      <protection locked="0"/>
    </xf>
    <xf numFmtId="0" fontId="11" fillId="3" borderId="1" xfId="0" applyFont="1" applyFill="1" applyBorder="1" applyAlignment="1">
      <alignment vertical="center" wrapText="1"/>
    </xf>
    <xf numFmtId="0" fontId="2" fillId="4" borderId="1"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12" borderId="4"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2" borderId="14" xfId="0" applyFont="1" applyFill="1" applyBorder="1" applyAlignment="1">
      <alignment horizontal="center" vertical="center" wrapText="1"/>
    </xf>
    <xf numFmtId="0" fontId="5" fillId="12" borderId="10" xfId="0" applyFont="1" applyFill="1" applyBorder="1" applyAlignment="1">
      <alignment horizontal="center" vertical="center" wrapText="1"/>
    </xf>
    <xf numFmtId="167" fontId="5" fillId="12" borderId="3" xfId="0" applyNumberFormat="1" applyFont="1" applyFill="1" applyBorder="1" applyAlignment="1">
      <alignment horizontal="center" vertical="center" wrapText="1"/>
    </xf>
    <xf numFmtId="167" fontId="5" fillId="12" borderId="13" xfId="0" applyNumberFormat="1" applyFont="1" applyFill="1" applyBorder="1" applyAlignment="1">
      <alignment horizontal="center" vertical="center" wrapText="1"/>
    </xf>
    <xf numFmtId="167" fontId="5" fillId="12" borderId="12" xfId="0" applyNumberFormat="1" applyFont="1" applyFill="1" applyBorder="1" applyAlignment="1">
      <alignment horizontal="center" vertical="center" wrapText="1"/>
    </xf>
    <xf numFmtId="0" fontId="5" fillId="12" borderId="1" xfId="0" applyFont="1" applyFill="1" applyBorder="1" applyAlignment="1">
      <alignment horizontal="center" vertical="center" wrapText="1"/>
    </xf>
    <xf numFmtId="0" fontId="7" fillId="12" borderId="8" xfId="0" applyFont="1" applyFill="1" applyBorder="1" applyAlignment="1">
      <alignment horizontal="center" vertical="center" wrapText="1"/>
    </xf>
    <xf numFmtId="0" fontId="7" fillId="12" borderId="10" xfId="0" applyFont="1" applyFill="1" applyBorder="1" applyAlignment="1">
      <alignment horizontal="center" vertical="center" wrapText="1"/>
    </xf>
    <xf numFmtId="0" fontId="7" fillId="12" borderId="5" xfId="0" applyFont="1" applyFill="1" applyBorder="1" applyAlignment="1" applyProtection="1">
      <alignment horizontal="left" vertical="center" wrapText="1"/>
      <protection locked="0"/>
    </xf>
    <xf numFmtId="0" fontId="7" fillId="12" borderId="6" xfId="0" applyFont="1" applyFill="1" applyBorder="1" applyAlignment="1" applyProtection="1">
      <alignment horizontal="left" vertical="center" wrapText="1"/>
      <protection locked="0"/>
    </xf>
    <xf numFmtId="0" fontId="9" fillId="4" borderId="6" xfId="0" applyFont="1" applyFill="1" applyBorder="1" applyAlignment="1">
      <alignment horizontal="right" vertical="center" wrapText="1"/>
    </xf>
    <xf numFmtId="0" fontId="9" fillId="12" borderId="2" xfId="0" applyFont="1" applyFill="1" applyBorder="1" applyAlignment="1">
      <alignment horizontal="right" vertical="center" wrapText="1"/>
    </xf>
    <xf numFmtId="0" fontId="5" fillId="12" borderId="6" xfId="0" applyFont="1" applyFill="1" applyBorder="1" applyAlignment="1">
      <alignment horizontal="center" vertical="center" wrapText="1"/>
    </xf>
  </cellXfs>
  <cellStyles count="3">
    <cellStyle name="Normal" xfId="0" builtinId="0"/>
    <cellStyle name="Porcentagem" xfId="2" builtinId="5"/>
    <cellStyle name="Vírgula" xfId="1" builtinId="3"/>
  </cellStyles>
  <dxfs count="0"/>
  <tableStyles count="0" defaultTableStyle="TableStyleMedium2" defaultPivotStyle="PivotStyleLight16"/>
  <colors>
    <mruColors>
      <color rgb="FFFF9999"/>
      <color rgb="FFFAD2BE"/>
      <color rgb="FF2A5664"/>
      <color rgb="FFD9D9D9"/>
      <color rgb="FFC65911"/>
      <color rgb="FFED7D31"/>
      <color rgb="FFF7B391"/>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77777"/>
  </sheetPr>
  <dimension ref="A1:AP673"/>
  <sheetViews>
    <sheetView showGridLines="0" tabSelected="1" zoomScale="38" zoomScaleNormal="40" zoomScaleSheetLayoutView="40" workbookViewId="0">
      <selection activeCell="F651" sqref="F651"/>
    </sheetView>
  </sheetViews>
  <sheetFormatPr defaultColWidth="36.81640625" defaultRowHeight="26" x14ac:dyDescent="0.6"/>
  <cols>
    <col min="1" max="1" width="36.81640625" style="21"/>
    <col min="2" max="2" width="126.81640625" style="1" customWidth="1"/>
    <col min="3" max="3" width="39.7265625" style="116" hidden="1" customWidth="1"/>
    <col min="4" max="4" width="38.453125" style="116" customWidth="1"/>
    <col min="5" max="5" width="41" style="116" customWidth="1"/>
    <col min="6" max="7" width="39.54296875" style="116" customWidth="1"/>
    <col min="8" max="8" width="28.54296875" style="1" customWidth="1"/>
    <col min="9" max="9" width="27.7265625" style="15" customWidth="1"/>
    <col min="10" max="10" width="27.26953125" style="15" customWidth="1"/>
    <col min="11" max="11" width="77.1796875" style="26" customWidth="1"/>
    <col min="12" max="12" width="37.81640625" style="93" customWidth="1"/>
    <col min="13" max="13" width="236.1796875" style="1" customWidth="1"/>
    <col min="14" max="16384" width="36.81640625" style="1"/>
  </cols>
  <sheetData>
    <row r="1" spans="1:42" ht="49.9" customHeight="1" x14ac:dyDescent="0.6">
      <c r="A1" s="298" t="s">
        <v>416</v>
      </c>
      <c r="B1" s="298"/>
      <c r="C1" s="298"/>
      <c r="D1" s="298"/>
      <c r="E1" s="298"/>
      <c r="F1" s="298"/>
      <c r="G1" s="298"/>
      <c r="H1" s="298"/>
      <c r="I1" s="156"/>
      <c r="J1" s="156"/>
    </row>
    <row r="2" spans="1:42" ht="84" customHeight="1" x14ac:dyDescent="0.6">
      <c r="A2" s="295" t="s">
        <v>0</v>
      </c>
      <c r="B2" s="295"/>
      <c r="C2" s="295"/>
      <c r="D2" s="295"/>
      <c r="E2" s="295"/>
      <c r="F2" s="295"/>
      <c r="G2" s="295"/>
      <c r="H2" s="295"/>
      <c r="I2" s="12"/>
      <c r="J2" s="12"/>
    </row>
    <row r="3" spans="1:42" ht="97.5" customHeight="1" x14ac:dyDescent="0.6">
      <c r="A3" s="296" t="s">
        <v>1</v>
      </c>
      <c r="B3" s="296"/>
      <c r="C3" s="222" t="s">
        <v>34</v>
      </c>
      <c r="D3" s="222"/>
      <c r="E3" s="222"/>
      <c r="F3" s="222"/>
      <c r="G3" s="222"/>
      <c r="H3" s="222"/>
      <c r="I3" s="157"/>
      <c r="J3" s="157"/>
      <c r="P3" s="2"/>
      <c r="Q3" s="3"/>
      <c r="R3" s="3"/>
      <c r="S3" s="3"/>
      <c r="T3" s="3"/>
      <c r="U3" s="3"/>
      <c r="V3" s="3"/>
      <c r="W3" s="3"/>
      <c r="X3" s="3"/>
      <c r="Y3" s="3"/>
    </row>
    <row r="4" spans="1:42" ht="97.5" customHeight="1" x14ac:dyDescent="0.6">
      <c r="A4" s="296" t="s">
        <v>3</v>
      </c>
      <c r="B4" s="296"/>
      <c r="C4" s="222" t="s">
        <v>35</v>
      </c>
      <c r="D4" s="222"/>
      <c r="E4" s="222"/>
      <c r="F4" s="222"/>
      <c r="G4" s="222"/>
      <c r="H4" s="222"/>
      <c r="I4" s="158"/>
      <c r="J4" s="158"/>
      <c r="X4" s="3"/>
      <c r="Y4" s="3"/>
    </row>
    <row r="5" spans="1:42" s="6" customFormat="1" ht="49.5" customHeight="1" x14ac:dyDescent="0.6">
      <c r="A5" s="20"/>
      <c r="B5" s="4"/>
      <c r="C5" s="106"/>
      <c r="D5" s="106"/>
      <c r="E5" s="106"/>
      <c r="F5" s="106"/>
      <c r="G5" s="106"/>
      <c r="H5" s="5"/>
      <c r="I5" s="155"/>
      <c r="J5" s="155"/>
      <c r="K5" s="27"/>
      <c r="L5" s="95"/>
      <c r="P5" s="7"/>
      <c r="Q5" s="8"/>
      <c r="R5" s="8"/>
      <c r="S5" s="8"/>
      <c r="T5" s="8"/>
      <c r="U5" s="8"/>
      <c r="V5" s="8"/>
      <c r="W5" s="8"/>
      <c r="X5" s="8"/>
      <c r="Y5" s="8"/>
    </row>
    <row r="6" spans="1:42" ht="97.5" customHeight="1" x14ac:dyDescent="0.6">
      <c r="A6" s="223" t="s">
        <v>5</v>
      </c>
      <c r="B6" s="224"/>
      <c r="C6" s="223" t="s">
        <v>6</v>
      </c>
      <c r="D6" s="224"/>
      <c r="E6" s="224"/>
      <c r="F6" s="224"/>
      <c r="G6" s="224"/>
      <c r="H6" s="225"/>
      <c r="I6" s="226" t="s">
        <v>7</v>
      </c>
      <c r="J6" s="227"/>
      <c r="K6" s="233" t="s">
        <v>309</v>
      </c>
      <c r="L6" s="236" t="s">
        <v>9</v>
      </c>
      <c r="O6" s="8"/>
      <c r="P6" s="8"/>
      <c r="Q6" s="8"/>
      <c r="R6" s="8"/>
      <c r="S6" s="8"/>
      <c r="T6" s="8"/>
      <c r="U6" s="8"/>
      <c r="V6" s="8"/>
      <c r="W6" s="3"/>
      <c r="X6" s="3"/>
      <c r="Y6" s="3"/>
    </row>
    <row r="7" spans="1:42" ht="56.15" customHeight="1" x14ac:dyDescent="0.6">
      <c r="A7" s="223" t="s">
        <v>10</v>
      </c>
      <c r="B7" s="224"/>
      <c r="C7" s="229" t="s">
        <v>11</v>
      </c>
      <c r="D7" s="242" t="s">
        <v>310</v>
      </c>
      <c r="E7" s="223" t="s">
        <v>313</v>
      </c>
      <c r="F7" s="224"/>
      <c r="G7" s="225"/>
      <c r="H7" s="239" t="s">
        <v>315</v>
      </c>
      <c r="I7" s="240" t="s">
        <v>14</v>
      </c>
      <c r="J7" s="240" t="s">
        <v>15</v>
      </c>
      <c r="K7" s="234"/>
      <c r="L7" s="237"/>
      <c r="O7" s="8"/>
      <c r="P7" s="8"/>
      <c r="Q7" s="8"/>
      <c r="R7" s="8"/>
      <c r="S7" s="8"/>
      <c r="T7" s="8"/>
      <c r="U7" s="8"/>
      <c r="V7" s="8"/>
      <c r="W7" s="3"/>
      <c r="X7" s="3"/>
      <c r="Y7" s="3"/>
    </row>
    <row r="8" spans="1:42" ht="97.5" customHeight="1" x14ac:dyDescent="0.6">
      <c r="A8" s="16" t="s">
        <v>16</v>
      </c>
      <c r="B8" s="16" t="s">
        <v>17</v>
      </c>
      <c r="C8" s="230"/>
      <c r="D8" s="243"/>
      <c r="E8" s="16" t="s">
        <v>311</v>
      </c>
      <c r="F8" s="16" t="s">
        <v>312</v>
      </c>
      <c r="G8" s="16" t="s">
        <v>314</v>
      </c>
      <c r="H8" s="239"/>
      <c r="I8" s="241"/>
      <c r="J8" s="241"/>
      <c r="K8" s="235"/>
      <c r="L8" s="238"/>
      <c r="O8" s="8"/>
      <c r="P8" s="8"/>
      <c r="Q8" s="8"/>
      <c r="R8" s="8"/>
      <c r="S8" s="8"/>
      <c r="T8" s="8"/>
      <c r="U8" s="8"/>
      <c r="V8" s="8"/>
      <c r="W8" s="3"/>
      <c r="X8" s="3"/>
      <c r="Y8" s="3"/>
      <c r="AP8" s="1" t="s">
        <v>18</v>
      </c>
    </row>
    <row r="9" spans="1:42" ht="111.75" customHeight="1" x14ac:dyDescent="0.6">
      <c r="A9" s="34">
        <v>12</v>
      </c>
      <c r="B9" s="32" t="s">
        <v>148</v>
      </c>
      <c r="C9" s="103">
        <v>87374.83</v>
      </c>
      <c r="D9" s="104">
        <v>90283.29</v>
      </c>
      <c r="E9" s="104">
        <v>46295.56</v>
      </c>
      <c r="F9" s="146">
        <f>10029.23*8</f>
        <v>80233.84</v>
      </c>
      <c r="G9" s="146">
        <f>E9+F9</f>
        <v>126529.4</v>
      </c>
      <c r="H9" s="18">
        <f>IFERROR(D9/C9*100-100,0)</f>
        <v>3.3287160615934681</v>
      </c>
      <c r="I9" s="9">
        <v>0</v>
      </c>
      <c r="J9" s="10">
        <f>IFERROR(I9/#REF!*100,)</f>
        <v>0</v>
      </c>
      <c r="K9" s="28" t="s">
        <v>19</v>
      </c>
      <c r="L9" s="94" t="s">
        <v>19</v>
      </c>
      <c r="O9" s="8"/>
      <c r="P9" s="2"/>
      <c r="Q9" s="3"/>
      <c r="R9" s="3"/>
      <c r="S9" s="3"/>
      <c r="T9" s="3"/>
      <c r="U9" s="3"/>
      <c r="V9" s="3"/>
      <c r="W9" s="3"/>
      <c r="X9" s="3"/>
      <c r="Y9" s="3"/>
      <c r="AP9" s="1" t="s">
        <v>20</v>
      </c>
    </row>
    <row r="10" spans="1:42" ht="77.25" customHeight="1" x14ac:dyDescent="0.6">
      <c r="A10" s="34">
        <v>6</v>
      </c>
      <c r="B10" s="32" t="s">
        <v>178</v>
      </c>
      <c r="C10" s="103">
        <v>0</v>
      </c>
      <c r="D10" s="103">
        <v>0</v>
      </c>
      <c r="E10" s="103">
        <v>0</v>
      </c>
      <c r="F10" s="111">
        <f>10029.23*6</f>
        <v>60175.38</v>
      </c>
      <c r="G10" s="146">
        <f t="shared" ref="G10:G14" si="0">E10+F10</f>
        <v>60175.38</v>
      </c>
      <c r="H10" s="18">
        <f t="shared" ref="H10:H14" si="1">IFERROR(D10/C10*100-100,0)</f>
        <v>0</v>
      </c>
      <c r="I10" s="9">
        <v>0</v>
      </c>
      <c r="J10" s="10">
        <f>IFERROR(I10/#REF!*100,)</f>
        <v>0</v>
      </c>
      <c r="K10" s="28" t="s">
        <v>19</v>
      </c>
      <c r="L10" s="94" t="s">
        <v>19</v>
      </c>
      <c r="P10" s="2"/>
      <c r="Q10" s="3"/>
      <c r="R10" s="3"/>
      <c r="S10" s="3"/>
      <c r="T10" s="3"/>
      <c r="U10" s="3"/>
      <c r="V10" s="3"/>
      <c r="W10" s="3"/>
      <c r="X10" s="3"/>
      <c r="Y10" s="3"/>
      <c r="AP10" s="1" t="s">
        <v>22</v>
      </c>
    </row>
    <row r="11" spans="1:42" ht="81.75" customHeight="1" x14ac:dyDescent="0.6">
      <c r="A11" s="34">
        <v>4</v>
      </c>
      <c r="B11" s="31" t="s">
        <v>28</v>
      </c>
      <c r="C11" s="103">
        <v>20000</v>
      </c>
      <c r="D11" s="103">
        <v>0</v>
      </c>
      <c r="E11" s="103">
        <v>2280</v>
      </c>
      <c r="F11" s="111">
        <v>10000</v>
      </c>
      <c r="G11" s="146">
        <f t="shared" si="0"/>
        <v>12280</v>
      </c>
      <c r="H11" s="18">
        <f t="shared" si="1"/>
        <v>-100</v>
      </c>
      <c r="I11" s="9">
        <v>0</v>
      </c>
      <c r="J11" s="10">
        <f>IFERROR(I11/#REF!*100,)</f>
        <v>0</v>
      </c>
      <c r="K11" s="28" t="s">
        <v>19</v>
      </c>
      <c r="L11" s="94" t="s">
        <v>19</v>
      </c>
      <c r="M11" s="50"/>
      <c r="P11" s="2"/>
      <c r="Q11" s="3"/>
      <c r="R11" s="3"/>
      <c r="S11" s="3"/>
      <c r="T11" s="3"/>
      <c r="U11" s="3"/>
      <c r="V11" s="3"/>
      <c r="W11" s="3"/>
      <c r="X11" s="3"/>
      <c r="Y11" s="3"/>
    </row>
    <row r="12" spans="1:42" ht="78.650000000000006" customHeight="1" x14ac:dyDescent="0.6">
      <c r="A12" s="30">
        <v>2</v>
      </c>
      <c r="B12" s="32" t="s">
        <v>307</v>
      </c>
      <c r="C12" s="103">
        <v>0</v>
      </c>
      <c r="D12" s="103">
        <v>0</v>
      </c>
      <c r="E12" s="103">
        <f>6781.38+2205.23</f>
        <v>8986.61</v>
      </c>
      <c r="F12" s="111">
        <v>0</v>
      </c>
      <c r="G12" s="146">
        <f t="shared" si="0"/>
        <v>8986.61</v>
      </c>
      <c r="H12" s="18">
        <f t="shared" si="1"/>
        <v>0</v>
      </c>
      <c r="I12" s="9">
        <v>0</v>
      </c>
      <c r="J12" s="10">
        <v>0</v>
      </c>
      <c r="K12" s="28" t="s">
        <v>19</v>
      </c>
      <c r="L12" s="94" t="s">
        <v>19</v>
      </c>
      <c r="P12" s="2"/>
      <c r="Q12" s="3"/>
      <c r="R12" s="3"/>
      <c r="S12" s="3"/>
      <c r="T12" s="3"/>
      <c r="U12" s="3"/>
      <c r="V12" s="3"/>
      <c r="W12" s="3"/>
      <c r="X12" s="3"/>
      <c r="Y12" s="3"/>
    </row>
    <row r="13" spans="1:42" ht="131.15" customHeight="1" x14ac:dyDescent="0.6">
      <c r="A13" s="39">
        <v>1</v>
      </c>
      <c r="B13" s="135" t="s">
        <v>308</v>
      </c>
      <c r="C13" s="107"/>
      <c r="D13" s="104">
        <v>0</v>
      </c>
      <c r="E13" s="104">
        <v>0</v>
      </c>
      <c r="F13" s="111">
        <f>126000-126000</f>
        <v>0</v>
      </c>
      <c r="G13" s="146">
        <f t="shared" si="0"/>
        <v>0</v>
      </c>
      <c r="H13" s="18">
        <f t="shared" si="1"/>
        <v>0</v>
      </c>
      <c r="I13" s="9">
        <v>0</v>
      </c>
      <c r="J13" s="10">
        <v>0</v>
      </c>
      <c r="K13" s="28" t="s">
        <v>190</v>
      </c>
      <c r="L13" s="94" t="s">
        <v>19</v>
      </c>
    </row>
    <row r="14" spans="1:42" ht="124" customHeight="1" x14ac:dyDescent="0.6">
      <c r="A14" s="39">
        <v>1</v>
      </c>
      <c r="B14" s="135" t="s">
        <v>230</v>
      </c>
      <c r="C14" s="107"/>
      <c r="D14" s="104">
        <v>0</v>
      </c>
      <c r="E14" s="104">
        <v>0</v>
      </c>
      <c r="F14" s="111">
        <f>5000-4000</f>
        <v>1000</v>
      </c>
      <c r="G14" s="146">
        <f t="shared" si="0"/>
        <v>1000</v>
      </c>
      <c r="H14" s="18">
        <f t="shared" si="1"/>
        <v>0</v>
      </c>
      <c r="I14" s="9">
        <v>0</v>
      </c>
      <c r="J14" s="10">
        <v>0</v>
      </c>
      <c r="K14" s="28" t="s">
        <v>191</v>
      </c>
      <c r="L14" s="94" t="s">
        <v>19</v>
      </c>
    </row>
    <row r="15" spans="1:42" s="12" customFormat="1" ht="56.15" customHeight="1" x14ac:dyDescent="0.35">
      <c r="A15" s="228" t="s">
        <v>25</v>
      </c>
      <c r="B15" s="228"/>
      <c r="C15" s="91">
        <f>SUM(C9:C12)</f>
        <v>107374.83</v>
      </c>
      <c r="D15" s="91">
        <f>SUM(D9:D14)</f>
        <v>90283.29</v>
      </c>
      <c r="E15" s="91">
        <f>SUM(E9:E14)</f>
        <v>57562.17</v>
      </c>
      <c r="F15" s="91">
        <f>SUM(F9:F14)</f>
        <v>151409.22</v>
      </c>
      <c r="G15" s="91">
        <f>SUM(G9:G14)</f>
        <v>208971.39</v>
      </c>
      <c r="H15" s="19">
        <f>IFERROR(D15/C15*100-100,0)</f>
        <v>-15.917641033750655</v>
      </c>
      <c r="I15" s="19">
        <f>SUM(I9:I14)</f>
        <v>0</v>
      </c>
      <c r="J15" s="19">
        <f>IFERROR(I15/#REF!*100,)</f>
        <v>0</v>
      </c>
      <c r="K15" s="36"/>
      <c r="L15" s="96">
        <f>SUM(L9:L12)</f>
        <v>0</v>
      </c>
      <c r="M15" s="55"/>
    </row>
    <row r="16" spans="1:42" ht="84" customHeight="1" x14ac:dyDescent="0.6">
      <c r="A16" s="139"/>
      <c r="B16" s="139"/>
      <c r="C16" s="139"/>
      <c r="D16" s="139"/>
      <c r="E16" s="139"/>
      <c r="F16" s="139"/>
      <c r="G16" s="139"/>
      <c r="H16" s="139"/>
      <c r="I16" s="12"/>
      <c r="J16" s="12"/>
    </row>
    <row r="17" spans="1:42" ht="97.5" customHeight="1" x14ac:dyDescent="0.6">
      <c r="A17" s="296" t="s">
        <v>1</v>
      </c>
      <c r="B17" s="296"/>
      <c r="C17" s="222" t="s">
        <v>31</v>
      </c>
      <c r="D17" s="222"/>
      <c r="E17" s="222"/>
      <c r="F17" s="222"/>
      <c r="G17" s="222"/>
      <c r="H17" s="222"/>
      <c r="I17" s="159"/>
      <c r="J17" s="159"/>
      <c r="P17" s="2"/>
      <c r="Q17" s="3"/>
      <c r="R17" s="3"/>
      <c r="S17" s="3"/>
      <c r="T17" s="3"/>
      <c r="U17" s="3"/>
      <c r="V17" s="3"/>
      <c r="W17" s="3"/>
      <c r="X17" s="3"/>
      <c r="Y17" s="3"/>
    </row>
    <row r="18" spans="1:42" ht="97.5" customHeight="1" x14ac:dyDescent="0.6">
      <c r="A18" s="296" t="s">
        <v>3</v>
      </c>
      <c r="B18" s="296"/>
      <c r="C18" s="222" t="s">
        <v>32</v>
      </c>
      <c r="D18" s="222"/>
      <c r="E18" s="222"/>
      <c r="F18" s="222"/>
      <c r="G18" s="222"/>
      <c r="H18" s="222"/>
      <c r="I18" s="160"/>
      <c r="J18" s="160"/>
      <c r="X18" s="3"/>
      <c r="Y18" s="3"/>
    </row>
    <row r="19" spans="1:42" s="6" customFormat="1" ht="49.5" customHeight="1" x14ac:dyDescent="0.6">
      <c r="A19" s="20"/>
      <c r="B19" s="4"/>
      <c r="C19" s="106"/>
      <c r="D19" s="106"/>
      <c r="E19" s="106"/>
      <c r="F19" s="106"/>
      <c r="G19" s="106"/>
      <c r="H19" s="5"/>
      <c r="I19" s="155"/>
      <c r="J19" s="155"/>
      <c r="K19" s="27"/>
      <c r="L19" s="95"/>
      <c r="P19" s="7"/>
      <c r="Q19" s="8"/>
      <c r="R19" s="8"/>
      <c r="S19" s="8"/>
      <c r="T19" s="8"/>
      <c r="U19" s="8"/>
      <c r="V19" s="8"/>
      <c r="W19" s="8"/>
      <c r="X19" s="8"/>
      <c r="Y19" s="8"/>
    </row>
    <row r="20" spans="1:42" ht="97.5" customHeight="1" x14ac:dyDescent="0.6">
      <c r="A20" s="223" t="s">
        <v>5</v>
      </c>
      <c r="B20" s="224"/>
      <c r="C20" s="223" t="s">
        <v>6</v>
      </c>
      <c r="D20" s="224"/>
      <c r="E20" s="224"/>
      <c r="F20" s="224"/>
      <c r="G20" s="224"/>
      <c r="H20" s="225"/>
      <c r="I20" s="226" t="s">
        <v>7</v>
      </c>
      <c r="J20" s="227"/>
      <c r="K20" s="233" t="s">
        <v>309</v>
      </c>
      <c r="L20" s="236" t="s">
        <v>9</v>
      </c>
      <c r="O20" s="8"/>
      <c r="P20" s="8"/>
      <c r="Q20" s="8"/>
      <c r="R20" s="8"/>
      <c r="S20" s="8"/>
      <c r="T20" s="8"/>
      <c r="U20" s="8"/>
      <c r="V20" s="8"/>
      <c r="W20" s="3"/>
      <c r="X20" s="3"/>
      <c r="Y20" s="3"/>
    </row>
    <row r="21" spans="1:42" ht="56.15" customHeight="1" x14ac:dyDescent="0.6">
      <c r="A21" s="223" t="s">
        <v>10</v>
      </c>
      <c r="B21" s="224"/>
      <c r="C21" s="229" t="s">
        <v>11</v>
      </c>
      <c r="D21" s="242" t="s">
        <v>310</v>
      </c>
      <c r="E21" s="223" t="s">
        <v>313</v>
      </c>
      <c r="F21" s="224"/>
      <c r="G21" s="225"/>
      <c r="H21" s="239" t="s">
        <v>315</v>
      </c>
      <c r="I21" s="240" t="s">
        <v>14</v>
      </c>
      <c r="J21" s="240" t="s">
        <v>15</v>
      </c>
      <c r="K21" s="234"/>
      <c r="L21" s="237"/>
      <c r="O21" s="8"/>
      <c r="P21" s="8"/>
      <c r="Q21" s="8"/>
      <c r="R21" s="8"/>
      <c r="S21" s="8"/>
      <c r="T21" s="8"/>
      <c r="U21" s="8"/>
      <c r="V21" s="8"/>
      <c r="W21" s="3"/>
      <c r="X21" s="3"/>
      <c r="Y21" s="3"/>
    </row>
    <row r="22" spans="1:42" ht="97.5" customHeight="1" x14ac:dyDescent="0.6">
      <c r="A22" s="16" t="s">
        <v>16</v>
      </c>
      <c r="B22" s="16" t="s">
        <v>17</v>
      </c>
      <c r="C22" s="230"/>
      <c r="D22" s="243"/>
      <c r="E22" s="16" t="s">
        <v>311</v>
      </c>
      <c r="F22" s="16" t="s">
        <v>312</v>
      </c>
      <c r="G22" s="16" t="s">
        <v>314</v>
      </c>
      <c r="H22" s="239"/>
      <c r="I22" s="241"/>
      <c r="J22" s="241"/>
      <c r="K22" s="235"/>
      <c r="L22" s="238"/>
      <c r="O22" s="8"/>
      <c r="P22" s="8"/>
      <c r="Q22" s="8"/>
      <c r="R22" s="8"/>
      <c r="S22" s="8"/>
      <c r="T22" s="8"/>
      <c r="U22" s="8"/>
      <c r="V22" s="8"/>
      <c r="W22" s="3"/>
      <c r="X22" s="3"/>
      <c r="Y22" s="3"/>
      <c r="AP22" s="1" t="s">
        <v>18</v>
      </c>
    </row>
    <row r="23" spans="1:42" ht="78" x14ac:dyDescent="0.6">
      <c r="A23" s="34">
        <v>12</v>
      </c>
      <c r="B23" s="25" t="s">
        <v>147</v>
      </c>
      <c r="C23" s="103">
        <v>63739.05</v>
      </c>
      <c r="D23" s="104">
        <v>90283.29</v>
      </c>
      <c r="E23" s="104">
        <v>41778.300000000003</v>
      </c>
      <c r="F23" s="146">
        <f>9954.24*8</f>
        <v>79633.919999999998</v>
      </c>
      <c r="G23" s="146">
        <f>E23+F23</f>
        <v>121412.22</v>
      </c>
      <c r="H23" s="18">
        <f>IFERROR(D23/C23*100-100,0)</f>
        <v>41.645176700939203</v>
      </c>
      <c r="I23" s="9">
        <v>0</v>
      </c>
      <c r="J23" s="10">
        <f>IFERROR(I23/#REF!*100,)</f>
        <v>0</v>
      </c>
      <c r="K23" s="28" t="s">
        <v>19</v>
      </c>
      <c r="L23" s="94" t="s">
        <v>19</v>
      </c>
      <c r="O23" s="8"/>
      <c r="P23" s="2"/>
      <c r="Q23" s="3"/>
      <c r="R23" s="3"/>
      <c r="S23" s="3"/>
      <c r="T23" s="3"/>
      <c r="U23" s="3"/>
      <c r="V23" s="3"/>
      <c r="W23" s="3"/>
      <c r="X23" s="3"/>
      <c r="Y23" s="3"/>
      <c r="AP23" s="1" t="s">
        <v>20</v>
      </c>
    </row>
    <row r="24" spans="1:42" ht="74.25" customHeight="1" x14ac:dyDescent="0.6">
      <c r="A24" s="34">
        <v>3</v>
      </c>
      <c r="B24" s="25" t="s">
        <v>177</v>
      </c>
      <c r="C24" s="107">
        <v>0</v>
      </c>
      <c r="D24" s="104">
        <v>0</v>
      </c>
      <c r="E24" s="104">
        <v>0</v>
      </c>
      <c r="F24" s="146">
        <f>9954.24*3</f>
        <v>29862.720000000001</v>
      </c>
      <c r="G24" s="146">
        <f t="shared" ref="G24:G26" si="2">E24+F24</f>
        <v>29862.720000000001</v>
      </c>
      <c r="H24" s="18">
        <f t="shared" ref="H24:H26" si="3">IFERROR(D24/C24*100-100,0)</f>
        <v>0</v>
      </c>
      <c r="I24" s="9">
        <v>0</v>
      </c>
      <c r="J24" s="10">
        <f>IFERROR(I24/#REF!*100,)</f>
        <v>0</v>
      </c>
      <c r="K24" s="28" t="s">
        <v>19</v>
      </c>
      <c r="L24" s="94" t="s">
        <v>19</v>
      </c>
      <c r="M24" s="50"/>
      <c r="P24" s="2"/>
      <c r="Q24" s="3"/>
      <c r="R24" s="3"/>
      <c r="S24" s="3"/>
      <c r="T24" s="3"/>
      <c r="U24" s="3"/>
      <c r="V24" s="3"/>
      <c r="W24" s="3"/>
      <c r="X24" s="3"/>
      <c r="Y24" s="3"/>
      <c r="AP24" s="1" t="s">
        <v>22</v>
      </c>
    </row>
    <row r="25" spans="1:42" ht="87" customHeight="1" x14ac:dyDescent="0.6">
      <c r="A25" s="35">
        <v>1</v>
      </c>
      <c r="B25" s="32" t="s">
        <v>33</v>
      </c>
      <c r="C25" s="103">
        <v>15000</v>
      </c>
      <c r="D25" s="103">
        <v>0</v>
      </c>
      <c r="E25" s="103">
        <v>0</v>
      </c>
      <c r="F25" s="111">
        <f>5000+5000</f>
        <v>10000</v>
      </c>
      <c r="G25" s="146">
        <f t="shared" si="2"/>
        <v>10000</v>
      </c>
      <c r="H25" s="18">
        <f t="shared" si="3"/>
        <v>-100</v>
      </c>
      <c r="I25" s="9">
        <v>0</v>
      </c>
      <c r="J25" s="10">
        <f>IFERROR(I25/#REF!*100,)</f>
        <v>0</v>
      </c>
      <c r="K25" s="28" t="s">
        <v>19</v>
      </c>
      <c r="L25" s="94" t="s">
        <v>19</v>
      </c>
      <c r="M25" s="50"/>
      <c r="P25" s="2"/>
      <c r="Q25" s="3"/>
      <c r="R25" s="3"/>
      <c r="S25" s="3"/>
      <c r="T25" s="3"/>
      <c r="U25" s="3"/>
      <c r="V25" s="3"/>
      <c r="W25" s="3"/>
      <c r="X25" s="3"/>
      <c r="Y25" s="3"/>
    </row>
    <row r="26" spans="1:42" ht="101.15" customHeight="1" x14ac:dyDescent="0.6">
      <c r="A26" s="30">
        <v>2</v>
      </c>
      <c r="B26" s="32" t="s">
        <v>282</v>
      </c>
      <c r="C26" s="103">
        <v>0</v>
      </c>
      <c r="D26" s="103">
        <v>0</v>
      </c>
      <c r="E26" s="103">
        <v>5554</v>
      </c>
      <c r="F26" s="111">
        <v>0</v>
      </c>
      <c r="G26" s="146">
        <f t="shared" si="2"/>
        <v>5554</v>
      </c>
      <c r="H26" s="18">
        <f t="shared" si="3"/>
        <v>0</v>
      </c>
      <c r="I26" s="9">
        <v>0</v>
      </c>
      <c r="J26" s="10">
        <v>0</v>
      </c>
      <c r="K26" s="28" t="s">
        <v>19</v>
      </c>
      <c r="L26" s="94" t="s">
        <v>19</v>
      </c>
      <c r="P26" s="2"/>
      <c r="Q26" s="3"/>
      <c r="R26" s="3"/>
      <c r="S26" s="3"/>
      <c r="T26" s="3"/>
      <c r="U26" s="3"/>
      <c r="V26" s="3"/>
      <c r="W26" s="3"/>
      <c r="X26" s="3"/>
      <c r="Y26" s="3"/>
    </row>
    <row r="27" spans="1:42" s="12" customFormat="1" ht="56.15" customHeight="1" x14ac:dyDescent="0.35">
      <c r="A27" s="228" t="s">
        <v>25</v>
      </c>
      <c r="B27" s="228"/>
      <c r="C27" s="91">
        <f>SUM(C23:C26)</f>
        <v>78739.05</v>
      </c>
      <c r="D27" s="91">
        <f>SUM(D23:D26)</f>
        <v>90283.29</v>
      </c>
      <c r="E27" s="91">
        <f>SUM(E23:E26)</f>
        <v>47332.3</v>
      </c>
      <c r="F27" s="91">
        <f>SUM(F23:F26)</f>
        <v>119496.64</v>
      </c>
      <c r="G27" s="91">
        <f>SUM(G23:G26)</f>
        <v>166828.94</v>
      </c>
      <c r="H27" s="19">
        <f>IFERROR(D27/C27*100-100,0)</f>
        <v>14.661391012464577</v>
      </c>
      <c r="I27" s="19">
        <f>SUM(I23:I26)</f>
        <v>0</v>
      </c>
      <c r="J27" s="19">
        <f>IFERROR(I27/#REF!*100,)</f>
        <v>0</v>
      </c>
      <c r="K27" s="36"/>
      <c r="L27" s="96">
        <f>SUM(L23:L26)</f>
        <v>0</v>
      </c>
      <c r="M27" s="55"/>
    </row>
    <row r="28" spans="1:42" ht="56.15" customHeight="1" x14ac:dyDescent="0.6">
      <c r="A28" s="244"/>
      <c r="B28" s="244"/>
      <c r="C28" s="244"/>
      <c r="D28" s="244"/>
      <c r="E28" s="244"/>
      <c r="F28" s="244"/>
      <c r="G28" s="244"/>
      <c r="H28" s="244"/>
      <c r="I28" s="245"/>
      <c r="J28" s="245"/>
    </row>
    <row r="29" spans="1:42" ht="97.5" customHeight="1" x14ac:dyDescent="0.6">
      <c r="A29" s="220" t="s">
        <v>1</v>
      </c>
      <c r="B29" s="221"/>
      <c r="C29" s="222" t="s">
        <v>26</v>
      </c>
      <c r="D29" s="222"/>
      <c r="E29" s="222"/>
      <c r="F29" s="222"/>
      <c r="G29" s="222"/>
      <c r="H29" s="222"/>
      <c r="I29" s="159"/>
      <c r="J29" s="159"/>
      <c r="P29" s="2"/>
      <c r="Q29" s="3"/>
      <c r="R29" s="3"/>
      <c r="S29" s="3"/>
      <c r="T29" s="3"/>
      <c r="U29" s="3"/>
      <c r="V29" s="3"/>
      <c r="W29" s="3"/>
      <c r="X29" s="3"/>
      <c r="Y29" s="3"/>
    </row>
    <row r="30" spans="1:42" ht="97.5" customHeight="1" x14ac:dyDescent="0.6">
      <c r="A30" s="221" t="s">
        <v>3</v>
      </c>
      <c r="B30" s="221"/>
      <c r="C30" s="222" t="s">
        <v>27</v>
      </c>
      <c r="D30" s="222"/>
      <c r="E30" s="222"/>
      <c r="F30" s="222"/>
      <c r="G30" s="222"/>
      <c r="H30" s="222"/>
      <c r="I30" s="160"/>
      <c r="J30" s="160"/>
      <c r="X30" s="3"/>
      <c r="Y30" s="3"/>
    </row>
    <row r="31" spans="1:42" s="6" customFormat="1" ht="49.5" customHeight="1" x14ac:dyDescent="0.6">
      <c r="A31" s="20"/>
      <c r="B31" s="4"/>
      <c r="C31" s="106"/>
      <c r="D31" s="106"/>
      <c r="E31" s="106"/>
      <c r="F31" s="106"/>
      <c r="G31" s="106"/>
      <c r="H31" s="5"/>
      <c r="I31" s="155"/>
      <c r="J31" s="155"/>
      <c r="K31" s="27"/>
      <c r="L31" s="95"/>
      <c r="P31" s="7"/>
      <c r="Q31" s="8"/>
      <c r="R31" s="8"/>
      <c r="S31" s="8"/>
      <c r="T31" s="8"/>
      <c r="U31" s="8"/>
      <c r="V31" s="8"/>
      <c r="W31" s="8"/>
      <c r="X31" s="8"/>
      <c r="Y31" s="8"/>
    </row>
    <row r="32" spans="1:42" ht="97.5" customHeight="1" x14ac:dyDescent="0.6">
      <c r="A32" s="223" t="s">
        <v>5</v>
      </c>
      <c r="B32" s="224"/>
      <c r="C32" s="223" t="s">
        <v>6</v>
      </c>
      <c r="D32" s="224"/>
      <c r="E32" s="224"/>
      <c r="F32" s="224"/>
      <c r="G32" s="224"/>
      <c r="H32" s="225"/>
      <c r="I32" s="226" t="s">
        <v>7</v>
      </c>
      <c r="J32" s="227"/>
      <c r="K32" s="233" t="s">
        <v>309</v>
      </c>
      <c r="L32" s="236" t="s">
        <v>9</v>
      </c>
      <c r="O32" s="8"/>
      <c r="P32" s="8"/>
      <c r="Q32" s="8"/>
      <c r="R32" s="8"/>
      <c r="S32" s="8"/>
      <c r="T32" s="8"/>
      <c r="U32" s="8"/>
      <c r="V32" s="8"/>
      <c r="W32" s="3"/>
      <c r="X32" s="3"/>
      <c r="Y32" s="3"/>
    </row>
    <row r="33" spans="1:42" ht="56.15" customHeight="1" x14ac:dyDescent="0.6">
      <c r="A33" s="223" t="s">
        <v>10</v>
      </c>
      <c r="B33" s="224"/>
      <c r="C33" s="229" t="s">
        <v>11</v>
      </c>
      <c r="D33" s="242" t="s">
        <v>310</v>
      </c>
      <c r="E33" s="223" t="s">
        <v>313</v>
      </c>
      <c r="F33" s="224"/>
      <c r="G33" s="225"/>
      <c r="H33" s="239" t="s">
        <v>315</v>
      </c>
      <c r="I33" s="240" t="s">
        <v>14</v>
      </c>
      <c r="J33" s="240" t="s">
        <v>15</v>
      </c>
      <c r="K33" s="234"/>
      <c r="L33" s="237"/>
      <c r="O33" s="8"/>
      <c r="P33" s="8"/>
      <c r="Q33" s="8"/>
      <c r="R33" s="8"/>
      <c r="S33" s="8"/>
      <c r="T33" s="8"/>
      <c r="U33" s="8"/>
      <c r="V33" s="8"/>
      <c r="W33" s="3"/>
      <c r="X33" s="3"/>
      <c r="Y33" s="3"/>
    </row>
    <row r="34" spans="1:42" ht="97.5" customHeight="1" x14ac:dyDescent="0.6">
      <c r="A34" s="16" t="s">
        <v>16</v>
      </c>
      <c r="B34" s="16" t="s">
        <v>17</v>
      </c>
      <c r="C34" s="230"/>
      <c r="D34" s="243"/>
      <c r="E34" s="16" t="s">
        <v>311</v>
      </c>
      <c r="F34" s="16" t="s">
        <v>312</v>
      </c>
      <c r="G34" s="16" t="s">
        <v>314</v>
      </c>
      <c r="H34" s="239"/>
      <c r="I34" s="241"/>
      <c r="J34" s="241"/>
      <c r="K34" s="235"/>
      <c r="L34" s="238"/>
      <c r="O34" s="8"/>
      <c r="P34" s="8"/>
      <c r="Q34" s="8"/>
      <c r="R34" s="8"/>
      <c r="S34" s="8"/>
      <c r="T34" s="8"/>
      <c r="U34" s="8"/>
      <c r="V34" s="8"/>
      <c r="W34" s="3"/>
      <c r="X34" s="3"/>
      <c r="Y34" s="3"/>
      <c r="AP34" s="1" t="s">
        <v>18</v>
      </c>
    </row>
    <row r="35" spans="1:42" ht="134.25" customHeight="1" x14ac:dyDescent="0.6">
      <c r="A35" s="29">
        <v>12</v>
      </c>
      <c r="B35" s="24" t="s">
        <v>316</v>
      </c>
      <c r="C35" s="103">
        <v>33874.39</v>
      </c>
      <c r="D35" s="104">
        <v>210661.01</v>
      </c>
      <c r="E35" s="104">
        <v>46137.740000000005</v>
      </c>
      <c r="F35" s="146">
        <f>11050.79*8</f>
        <v>88406.32</v>
      </c>
      <c r="G35" s="146">
        <f>E35+F35</f>
        <v>134544.06</v>
      </c>
      <c r="H35" s="18">
        <f t="shared" ref="H35:H40" si="4">IFERROR(D35/C35*100-100,0)</f>
        <v>521.88871888172753</v>
      </c>
      <c r="I35" s="9">
        <v>0</v>
      </c>
      <c r="J35" s="10">
        <f>IFERROR(I35/#REF!*100,)</f>
        <v>0</v>
      </c>
      <c r="K35" s="28" t="s">
        <v>19</v>
      </c>
      <c r="L35" s="94" t="s">
        <v>19</v>
      </c>
      <c r="O35" s="8"/>
      <c r="P35" s="2"/>
      <c r="Q35" s="3"/>
      <c r="R35" s="3"/>
      <c r="S35" s="3"/>
      <c r="T35" s="3"/>
      <c r="U35" s="3"/>
      <c r="V35" s="3"/>
      <c r="W35" s="3"/>
      <c r="X35" s="3"/>
      <c r="Y35" s="3"/>
      <c r="AP35" s="1" t="s">
        <v>20</v>
      </c>
    </row>
    <row r="36" spans="1:42" ht="75.75" customHeight="1" x14ac:dyDescent="0.6">
      <c r="A36" s="29">
        <v>6</v>
      </c>
      <c r="B36" s="25" t="s">
        <v>21</v>
      </c>
      <c r="C36" s="107">
        <v>0</v>
      </c>
      <c r="D36" s="104">
        <v>0</v>
      </c>
      <c r="E36" s="104">
        <v>5982.37</v>
      </c>
      <c r="F36" s="146">
        <f>E36*6</f>
        <v>35894.22</v>
      </c>
      <c r="G36" s="146">
        <f t="shared" ref="G36:G39" si="5">E36+F36</f>
        <v>41876.590000000004</v>
      </c>
      <c r="H36" s="18">
        <f t="shared" si="4"/>
        <v>0</v>
      </c>
      <c r="I36" s="9">
        <v>0</v>
      </c>
      <c r="J36" s="10">
        <f>IFERROR(I36/#REF!*100,)</f>
        <v>0</v>
      </c>
      <c r="K36" s="28" t="s">
        <v>19</v>
      </c>
      <c r="L36" s="94" t="s">
        <v>19</v>
      </c>
      <c r="P36" s="2"/>
      <c r="Q36" s="3"/>
      <c r="R36" s="3"/>
      <c r="S36" s="3"/>
      <c r="T36" s="3"/>
      <c r="U36" s="3"/>
      <c r="V36" s="3"/>
      <c r="W36" s="3"/>
      <c r="X36" s="3"/>
      <c r="Y36" s="3"/>
      <c r="AP36" s="1" t="s">
        <v>22</v>
      </c>
    </row>
    <row r="37" spans="1:42" ht="92.15" customHeight="1" x14ac:dyDescent="0.6">
      <c r="A37" s="30">
        <v>2</v>
      </c>
      <c r="B37" s="32" t="s">
        <v>317</v>
      </c>
      <c r="C37" s="103"/>
      <c r="D37" s="103">
        <v>0</v>
      </c>
      <c r="E37" s="103">
        <v>6639.9</v>
      </c>
      <c r="F37" s="111">
        <v>0</v>
      </c>
      <c r="G37" s="146">
        <f t="shared" si="5"/>
        <v>6639.9</v>
      </c>
      <c r="H37" s="18">
        <f t="shared" si="4"/>
        <v>0</v>
      </c>
      <c r="I37" s="9">
        <v>0</v>
      </c>
      <c r="J37" s="10">
        <f>IFERROR(I37/#REF!*100,)</f>
        <v>0</v>
      </c>
      <c r="K37" s="28" t="s">
        <v>19</v>
      </c>
      <c r="L37" s="94" t="s">
        <v>19</v>
      </c>
      <c r="P37" s="2"/>
      <c r="Q37" s="3"/>
      <c r="R37" s="3"/>
      <c r="S37" s="3"/>
      <c r="T37" s="3"/>
      <c r="U37" s="3"/>
      <c r="V37" s="3"/>
      <c r="W37" s="3"/>
      <c r="X37" s="3"/>
      <c r="Y37" s="3"/>
    </row>
    <row r="38" spans="1:42" ht="148.5" customHeight="1" x14ac:dyDescent="0.6">
      <c r="A38" s="46">
        <v>1</v>
      </c>
      <c r="B38" s="31" t="s">
        <v>28</v>
      </c>
      <c r="C38" s="103">
        <v>25000</v>
      </c>
      <c r="D38" s="103">
        <v>0</v>
      </c>
      <c r="E38" s="103">
        <v>5169.01</v>
      </c>
      <c r="F38" s="111">
        <f>5000+5000</f>
        <v>10000</v>
      </c>
      <c r="G38" s="146">
        <f t="shared" si="5"/>
        <v>15169.01</v>
      </c>
      <c r="H38" s="18">
        <f t="shared" si="4"/>
        <v>-100</v>
      </c>
      <c r="I38" s="9">
        <v>0</v>
      </c>
      <c r="J38" s="10">
        <f>IFERROR(I38/#REF!*100,)</f>
        <v>0</v>
      </c>
      <c r="K38" s="28" t="s">
        <v>19</v>
      </c>
      <c r="L38" s="94" t="s">
        <v>19</v>
      </c>
      <c r="M38" s="291"/>
      <c r="N38" s="292"/>
      <c r="O38" s="292"/>
      <c r="P38" s="2"/>
      <c r="Q38" s="3"/>
      <c r="R38" s="3"/>
      <c r="S38" s="3"/>
      <c r="T38" s="3"/>
      <c r="U38" s="3"/>
      <c r="V38" s="3"/>
      <c r="W38" s="3"/>
      <c r="X38" s="3"/>
      <c r="Y38" s="3"/>
    </row>
    <row r="39" spans="1:42" ht="79.5" customHeight="1" x14ac:dyDescent="0.6">
      <c r="A39" s="46">
        <v>1</v>
      </c>
      <c r="B39" s="32" t="s">
        <v>318</v>
      </c>
      <c r="C39" s="103"/>
      <c r="D39" s="103">
        <v>0</v>
      </c>
      <c r="E39" s="103">
        <v>0</v>
      </c>
      <c r="F39" s="111">
        <v>0</v>
      </c>
      <c r="G39" s="146">
        <f t="shared" si="5"/>
        <v>0</v>
      </c>
      <c r="H39" s="18">
        <f t="shared" si="4"/>
        <v>0</v>
      </c>
      <c r="I39" s="9">
        <v>0</v>
      </c>
      <c r="J39" s="10">
        <f>IFERROR(I39/#REF!*100,)</f>
        <v>0</v>
      </c>
      <c r="K39" s="28" t="s">
        <v>187</v>
      </c>
      <c r="L39" s="94" t="s">
        <v>19</v>
      </c>
      <c r="P39" s="3"/>
      <c r="Q39" s="3"/>
      <c r="R39" s="3"/>
      <c r="S39" s="3"/>
      <c r="T39" s="3"/>
      <c r="U39" s="3"/>
      <c r="V39" s="3"/>
      <c r="W39" s="3"/>
      <c r="X39" s="3"/>
      <c r="Y39" s="3"/>
    </row>
    <row r="40" spans="1:42" s="12" customFormat="1" ht="56.15" customHeight="1" x14ac:dyDescent="0.35">
      <c r="A40" s="228" t="s">
        <v>25</v>
      </c>
      <c r="B40" s="228"/>
      <c r="C40" s="91">
        <f>SUM(C35:C38)</f>
        <v>58874.39</v>
      </c>
      <c r="D40" s="91">
        <f>SUM(D35:D39)</f>
        <v>210661.01</v>
      </c>
      <c r="E40" s="91">
        <f>SUM(E35:E39)</f>
        <v>63929.020000000011</v>
      </c>
      <c r="F40" s="91">
        <f>SUM(F35:F39)</f>
        <v>134300.54</v>
      </c>
      <c r="G40" s="91">
        <f>SUM(G35:G39)</f>
        <v>198229.56</v>
      </c>
      <c r="H40" s="19">
        <f t="shared" si="4"/>
        <v>257.81433998721684</v>
      </c>
      <c r="I40" s="19">
        <f>SUM(I35:I39)</f>
        <v>0</v>
      </c>
      <c r="J40" s="19">
        <f>IFERROR(I40/#REF!*100,)</f>
        <v>0</v>
      </c>
      <c r="K40" s="36"/>
      <c r="L40" s="96">
        <f>SUM(L35:L38)</f>
        <v>0</v>
      </c>
      <c r="M40" s="55"/>
    </row>
    <row r="41" spans="1:42" ht="56.15" customHeight="1" x14ac:dyDescent="0.6">
      <c r="A41" s="244"/>
      <c r="B41" s="244"/>
      <c r="C41" s="244"/>
      <c r="D41" s="244"/>
      <c r="E41" s="244"/>
      <c r="F41" s="244"/>
      <c r="G41" s="244"/>
      <c r="H41" s="244"/>
      <c r="I41" s="245"/>
      <c r="J41" s="245"/>
    </row>
    <row r="42" spans="1:42" ht="97.5" customHeight="1" x14ac:dyDescent="0.6">
      <c r="A42" s="220" t="s">
        <v>1</v>
      </c>
      <c r="B42" s="221"/>
      <c r="C42" s="222" t="s">
        <v>2</v>
      </c>
      <c r="D42" s="222"/>
      <c r="E42" s="222"/>
      <c r="F42" s="222"/>
      <c r="G42" s="222"/>
      <c r="H42" s="222"/>
      <c r="I42" s="159"/>
      <c r="J42" s="159"/>
      <c r="P42" s="2"/>
      <c r="Q42" s="3"/>
      <c r="R42" s="3"/>
      <c r="S42" s="3"/>
      <c r="T42" s="3"/>
      <c r="U42" s="3"/>
      <c r="V42" s="3"/>
      <c r="W42" s="3"/>
      <c r="X42" s="3"/>
      <c r="Y42" s="3"/>
    </row>
    <row r="43" spans="1:42" ht="97.5" customHeight="1" x14ac:dyDescent="0.6">
      <c r="A43" s="221" t="s">
        <v>3</v>
      </c>
      <c r="B43" s="221"/>
      <c r="C43" s="222" t="s">
        <v>4</v>
      </c>
      <c r="D43" s="222"/>
      <c r="E43" s="222"/>
      <c r="F43" s="222"/>
      <c r="G43" s="222"/>
      <c r="H43" s="222"/>
      <c r="I43" s="160"/>
      <c r="J43" s="160"/>
      <c r="X43" s="3"/>
      <c r="Y43" s="3"/>
    </row>
    <row r="44" spans="1:42" s="6" customFormat="1" ht="49.5" customHeight="1" x14ac:dyDescent="0.6">
      <c r="A44" s="20"/>
      <c r="B44" s="4"/>
      <c r="C44" s="106"/>
      <c r="D44" s="106"/>
      <c r="E44" s="106"/>
      <c r="F44" s="106"/>
      <c r="G44" s="106"/>
      <c r="H44" s="5"/>
      <c r="I44" s="155"/>
      <c r="J44" s="155"/>
      <c r="K44" s="27"/>
      <c r="L44" s="95"/>
      <c r="P44" s="7"/>
      <c r="Q44" s="8"/>
      <c r="R44" s="8"/>
      <c r="S44" s="8"/>
      <c r="T44" s="8"/>
      <c r="U44" s="8"/>
      <c r="V44" s="8"/>
      <c r="W44" s="8"/>
      <c r="X44" s="8"/>
      <c r="Y44" s="8"/>
    </row>
    <row r="45" spans="1:42" ht="97.5" customHeight="1" x14ac:dyDescent="0.6">
      <c r="A45" s="223" t="s">
        <v>5</v>
      </c>
      <c r="B45" s="224"/>
      <c r="C45" s="223" t="s">
        <v>6</v>
      </c>
      <c r="D45" s="224"/>
      <c r="E45" s="224"/>
      <c r="F45" s="224"/>
      <c r="G45" s="224"/>
      <c r="H45" s="225"/>
      <c r="I45" s="226" t="s">
        <v>7</v>
      </c>
      <c r="J45" s="227"/>
      <c r="K45" s="233" t="s">
        <v>309</v>
      </c>
      <c r="L45" s="236" t="s">
        <v>9</v>
      </c>
      <c r="O45" s="8"/>
      <c r="P45" s="8"/>
      <c r="Q45" s="8"/>
      <c r="R45" s="8"/>
      <c r="S45" s="8"/>
      <c r="T45" s="8"/>
      <c r="U45" s="8"/>
      <c r="V45" s="8"/>
      <c r="W45" s="3"/>
      <c r="X45" s="3"/>
      <c r="Y45" s="3"/>
    </row>
    <row r="46" spans="1:42" ht="56.15" customHeight="1" x14ac:dyDescent="0.6">
      <c r="A46" s="223" t="s">
        <v>10</v>
      </c>
      <c r="B46" s="224"/>
      <c r="C46" s="229" t="s">
        <v>11</v>
      </c>
      <c r="D46" s="242" t="s">
        <v>310</v>
      </c>
      <c r="E46" s="223" t="s">
        <v>313</v>
      </c>
      <c r="F46" s="224"/>
      <c r="G46" s="225"/>
      <c r="H46" s="239" t="s">
        <v>315</v>
      </c>
      <c r="I46" s="240" t="s">
        <v>14</v>
      </c>
      <c r="J46" s="240" t="s">
        <v>15</v>
      </c>
      <c r="K46" s="234"/>
      <c r="L46" s="237"/>
      <c r="O46" s="8"/>
      <c r="P46" s="8"/>
      <c r="Q46" s="8"/>
      <c r="R46" s="8"/>
      <c r="S46" s="8"/>
      <c r="T46" s="8"/>
      <c r="U46" s="8"/>
      <c r="V46" s="8"/>
      <c r="W46" s="3"/>
      <c r="X46" s="3"/>
      <c r="Y46" s="3"/>
    </row>
    <row r="47" spans="1:42" ht="97.5" customHeight="1" x14ac:dyDescent="0.6">
      <c r="A47" s="16" t="s">
        <v>16</v>
      </c>
      <c r="B47" s="16" t="s">
        <v>17</v>
      </c>
      <c r="C47" s="230"/>
      <c r="D47" s="243"/>
      <c r="E47" s="16" t="s">
        <v>311</v>
      </c>
      <c r="F47" s="16" t="s">
        <v>322</v>
      </c>
      <c r="G47" s="16" t="s">
        <v>314</v>
      </c>
      <c r="H47" s="239"/>
      <c r="I47" s="241"/>
      <c r="J47" s="241"/>
      <c r="K47" s="235"/>
      <c r="L47" s="238"/>
      <c r="O47" s="8"/>
      <c r="P47" s="8"/>
      <c r="Q47" s="8"/>
      <c r="R47" s="8"/>
      <c r="S47" s="8"/>
      <c r="T47" s="8"/>
      <c r="U47" s="8"/>
      <c r="V47" s="8"/>
      <c r="W47" s="3"/>
      <c r="X47" s="3"/>
      <c r="Y47" s="3"/>
      <c r="AP47" s="1" t="s">
        <v>18</v>
      </c>
    </row>
    <row r="48" spans="1:42" ht="129" customHeight="1" x14ac:dyDescent="0.6">
      <c r="A48" s="22">
        <v>12</v>
      </c>
      <c r="B48" s="24" t="s">
        <v>316</v>
      </c>
      <c r="C48" s="104">
        <v>95592.98</v>
      </c>
      <c r="D48" s="104">
        <v>120377.72</v>
      </c>
      <c r="E48" s="104">
        <v>39334.01</v>
      </c>
      <c r="F48" s="146">
        <f>8393.58*8</f>
        <v>67148.639999999999</v>
      </c>
      <c r="G48" s="146">
        <f>E48+F48</f>
        <v>106482.65</v>
      </c>
      <c r="H48" s="18">
        <f>IFERROR(D48/C48*100-100,0)</f>
        <v>25.927364122344557</v>
      </c>
      <c r="I48" s="9">
        <v>0</v>
      </c>
      <c r="J48" s="10">
        <f>IFERROR(I48/#REF!*100,)</f>
        <v>0</v>
      </c>
      <c r="K48" s="28" t="s">
        <v>19</v>
      </c>
      <c r="L48" s="94" t="s">
        <v>19</v>
      </c>
      <c r="O48" s="8"/>
      <c r="P48" s="2"/>
      <c r="Q48" s="3"/>
      <c r="R48" s="3"/>
      <c r="S48" s="3"/>
      <c r="T48" s="3"/>
      <c r="U48" s="3"/>
      <c r="V48" s="3"/>
      <c r="W48" s="3"/>
      <c r="X48" s="3"/>
      <c r="Y48" s="3"/>
      <c r="AP48" s="1" t="s">
        <v>20</v>
      </c>
    </row>
    <row r="49" spans="1:42" ht="80.25" customHeight="1" x14ac:dyDescent="0.6">
      <c r="A49" s="30">
        <v>3</v>
      </c>
      <c r="B49" s="32" t="s">
        <v>175</v>
      </c>
      <c r="C49" s="103">
        <v>0</v>
      </c>
      <c r="D49" s="103">
        <v>0</v>
      </c>
      <c r="E49" s="103">
        <v>0</v>
      </c>
      <c r="F49" s="111">
        <f>8393.58*3</f>
        <v>25180.739999999998</v>
      </c>
      <c r="G49" s="146">
        <f t="shared" ref="G49:G56" si="6">E49+F49</f>
        <v>25180.739999999998</v>
      </c>
      <c r="H49" s="18">
        <f t="shared" ref="H49:H52" si="7">IFERROR(D49/C49*100-100,0)</f>
        <v>0</v>
      </c>
      <c r="I49" s="9">
        <v>0</v>
      </c>
      <c r="J49" s="10">
        <f>IFERROR(I49/#REF!*100,)</f>
        <v>0</v>
      </c>
      <c r="K49" s="28" t="s">
        <v>19</v>
      </c>
      <c r="L49" s="94" t="s">
        <v>19</v>
      </c>
      <c r="P49" s="2"/>
      <c r="Q49" s="3"/>
      <c r="R49" s="3"/>
      <c r="S49" s="3"/>
      <c r="T49" s="3"/>
      <c r="U49" s="3"/>
      <c r="V49" s="3"/>
      <c r="W49" s="3"/>
      <c r="X49" s="3"/>
      <c r="Y49" s="3"/>
      <c r="AP49" s="1" t="s">
        <v>22</v>
      </c>
    </row>
    <row r="50" spans="1:42" ht="90.65" customHeight="1" x14ac:dyDescent="0.6">
      <c r="A50" s="30">
        <v>2</v>
      </c>
      <c r="B50" s="32" t="s">
        <v>320</v>
      </c>
      <c r="C50" s="103">
        <v>0</v>
      </c>
      <c r="D50" s="103">
        <v>0</v>
      </c>
      <c r="E50" s="103">
        <v>1030.23</v>
      </c>
      <c r="F50" s="111">
        <v>0</v>
      </c>
      <c r="G50" s="146">
        <f t="shared" si="6"/>
        <v>1030.23</v>
      </c>
      <c r="H50" s="18">
        <f t="shared" si="7"/>
        <v>0</v>
      </c>
      <c r="I50" s="9">
        <v>0</v>
      </c>
      <c r="J50" s="10"/>
      <c r="K50" s="28" t="s">
        <v>19</v>
      </c>
      <c r="L50" s="94" t="s">
        <v>19</v>
      </c>
      <c r="P50" s="2"/>
      <c r="Q50" s="3"/>
      <c r="R50" s="3"/>
      <c r="S50" s="3"/>
      <c r="T50" s="3"/>
      <c r="U50" s="3"/>
      <c r="V50" s="3"/>
      <c r="W50" s="3"/>
      <c r="X50" s="3"/>
      <c r="Y50" s="3"/>
    </row>
    <row r="51" spans="1:42" ht="84" customHeight="1" x14ac:dyDescent="0.6">
      <c r="A51" s="46">
        <v>1</v>
      </c>
      <c r="B51" s="51" t="s">
        <v>23</v>
      </c>
      <c r="C51" s="103">
        <v>35000</v>
      </c>
      <c r="D51" s="103">
        <v>0</v>
      </c>
      <c r="E51" s="103">
        <v>2751.1</v>
      </c>
      <c r="F51" s="111">
        <v>10000</v>
      </c>
      <c r="G51" s="146">
        <f t="shared" si="6"/>
        <v>12751.1</v>
      </c>
      <c r="H51" s="18">
        <f t="shared" si="7"/>
        <v>-100</v>
      </c>
      <c r="I51" s="9">
        <v>0</v>
      </c>
      <c r="J51" s="10">
        <f>IFERROR(I51/#REF!*100,)</f>
        <v>0</v>
      </c>
      <c r="K51" s="28" t="s">
        <v>19</v>
      </c>
      <c r="L51" s="94" t="s">
        <v>19</v>
      </c>
      <c r="P51" s="2"/>
      <c r="Q51" s="3"/>
      <c r="R51" s="3"/>
      <c r="S51" s="3"/>
      <c r="T51" s="3"/>
      <c r="U51" s="3"/>
      <c r="V51" s="3"/>
      <c r="W51" s="3"/>
      <c r="X51" s="3"/>
      <c r="Y51" s="3"/>
    </row>
    <row r="52" spans="1:42" ht="78" x14ac:dyDescent="0.6">
      <c r="A52" s="22">
        <v>1</v>
      </c>
      <c r="B52" s="61" t="s">
        <v>24</v>
      </c>
      <c r="C52" s="104">
        <v>6000</v>
      </c>
      <c r="D52" s="104">
        <v>10000</v>
      </c>
      <c r="E52" s="104">
        <v>0</v>
      </c>
      <c r="F52" s="146">
        <v>10000</v>
      </c>
      <c r="G52" s="146">
        <f t="shared" si="6"/>
        <v>10000</v>
      </c>
      <c r="H52" s="18">
        <f t="shared" si="7"/>
        <v>66.666666666666686</v>
      </c>
      <c r="I52" s="9">
        <v>0</v>
      </c>
      <c r="J52" s="10">
        <f>IFERROR(I52/#REF!*100,)</f>
        <v>0</v>
      </c>
      <c r="K52" s="28" t="s">
        <v>183</v>
      </c>
      <c r="L52" s="94" t="s">
        <v>19</v>
      </c>
      <c r="P52" s="2"/>
      <c r="Q52" s="3"/>
      <c r="R52" s="3"/>
      <c r="S52" s="3"/>
      <c r="T52" s="3"/>
      <c r="U52" s="3"/>
      <c r="V52" s="3"/>
      <c r="W52" s="3"/>
      <c r="X52" s="3"/>
      <c r="Y52" s="3"/>
    </row>
    <row r="53" spans="1:42" ht="156" x14ac:dyDescent="0.6">
      <c r="A53" s="46">
        <v>1</v>
      </c>
      <c r="B53" s="32" t="s">
        <v>236</v>
      </c>
      <c r="C53" s="103"/>
      <c r="D53" s="103">
        <v>0</v>
      </c>
      <c r="E53" s="103">
        <v>0</v>
      </c>
      <c r="F53" s="111">
        <f>13333.3333333333-3333.33</f>
        <v>10000.003333333299</v>
      </c>
      <c r="G53" s="146">
        <f t="shared" si="6"/>
        <v>10000.003333333299</v>
      </c>
      <c r="H53" s="18">
        <f t="shared" ref="H53:H56" si="8">IFERROR(D53/C53*100-100,0)</f>
        <v>0</v>
      </c>
      <c r="I53" s="9">
        <v>0</v>
      </c>
      <c r="J53" s="10">
        <f>IFERROR(I53/#REF!*100,)</f>
        <v>0</v>
      </c>
      <c r="K53" s="28" t="s">
        <v>180</v>
      </c>
      <c r="L53" s="94" t="s">
        <v>19</v>
      </c>
      <c r="P53" s="11"/>
    </row>
    <row r="54" spans="1:42" ht="267" customHeight="1" x14ac:dyDescent="0.6">
      <c r="A54" s="46">
        <v>1</v>
      </c>
      <c r="B54" s="32" t="s">
        <v>185</v>
      </c>
      <c r="C54" s="103"/>
      <c r="D54" s="103">
        <v>0</v>
      </c>
      <c r="E54" s="103">
        <v>0</v>
      </c>
      <c r="F54" s="111">
        <f>40000-20000</f>
        <v>20000</v>
      </c>
      <c r="G54" s="146">
        <f t="shared" si="6"/>
        <v>20000</v>
      </c>
      <c r="H54" s="18">
        <f t="shared" si="8"/>
        <v>0</v>
      </c>
      <c r="I54" s="9">
        <v>0</v>
      </c>
      <c r="J54" s="10">
        <f>IFERROR(I54/#REF!*100,)</f>
        <v>0</v>
      </c>
      <c r="K54" s="28" t="s">
        <v>181</v>
      </c>
      <c r="L54" s="94" t="s">
        <v>19</v>
      </c>
      <c r="P54" s="11"/>
    </row>
    <row r="55" spans="1:42" ht="110.25" customHeight="1" x14ac:dyDescent="0.6">
      <c r="A55" s="46">
        <v>1</v>
      </c>
      <c r="B55" s="32" t="s">
        <v>186</v>
      </c>
      <c r="C55" s="103"/>
      <c r="D55" s="103">
        <v>0</v>
      </c>
      <c r="E55" s="103">
        <v>0</v>
      </c>
      <c r="F55" s="111">
        <v>10000</v>
      </c>
      <c r="G55" s="146">
        <f t="shared" si="6"/>
        <v>10000</v>
      </c>
      <c r="H55" s="18">
        <f t="shared" si="8"/>
        <v>0</v>
      </c>
      <c r="I55" s="9">
        <v>0</v>
      </c>
      <c r="J55" s="10">
        <f>IFERROR(I55/#REF!*100,)</f>
        <v>0</v>
      </c>
      <c r="K55" s="28" t="s">
        <v>182</v>
      </c>
      <c r="L55" s="94" t="s">
        <v>19</v>
      </c>
      <c r="P55" s="11"/>
    </row>
    <row r="56" spans="1:42" ht="110.25" customHeight="1" x14ac:dyDescent="0.6">
      <c r="A56" s="46">
        <v>1</v>
      </c>
      <c r="B56" s="32" t="s">
        <v>321</v>
      </c>
      <c r="C56" s="103"/>
      <c r="D56" s="103">
        <v>0</v>
      </c>
      <c r="E56" s="103">
        <v>0</v>
      </c>
      <c r="F56" s="111">
        <f>10000-10000</f>
        <v>0</v>
      </c>
      <c r="G56" s="146">
        <f t="shared" si="6"/>
        <v>0</v>
      </c>
      <c r="H56" s="18">
        <f t="shared" si="8"/>
        <v>0</v>
      </c>
      <c r="I56" s="9">
        <v>0</v>
      </c>
      <c r="J56" s="10">
        <f>IFERROR(I56/#REF!*100,)</f>
        <v>0</v>
      </c>
      <c r="K56" s="28" t="s">
        <v>184</v>
      </c>
      <c r="L56" s="94" t="s">
        <v>19</v>
      </c>
      <c r="P56" s="11"/>
    </row>
    <row r="57" spans="1:42" s="12" customFormat="1" ht="55.5" customHeight="1" x14ac:dyDescent="0.35">
      <c r="A57" s="228" t="s">
        <v>25</v>
      </c>
      <c r="B57" s="228"/>
      <c r="C57" s="91">
        <f>SUM(C48:C52)</f>
        <v>136592.97999999998</v>
      </c>
      <c r="D57" s="91">
        <f>SUM(D48:D56)</f>
        <v>130377.72</v>
      </c>
      <c r="E57" s="91">
        <f>SUM(E48:E56)</f>
        <v>43115.340000000004</v>
      </c>
      <c r="F57" s="91">
        <f>SUM(F48:F56)</f>
        <v>152329.3833333333</v>
      </c>
      <c r="G57" s="91">
        <f>SUM(G48:G56)</f>
        <v>195444.7233333333</v>
      </c>
      <c r="H57" s="19">
        <f>IFERROR(D57/C57*100-100,0)</f>
        <v>-4.5502045566323943</v>
      </c>
      <c r="I57" s="19">
        <f>SUM(I48:I56)</f>
        <v>0</v>
      </c>
      <c r="J57" s="19">
        <f>IFERROR(I57/#REF!*100,)</f>
        <v>0</v>
      </c>
      <c r="K57" s="36"/>
      <c r="L57" s="96">
        <v>0</v>
      </c>
      <c r="M57" s="55"/>
    </row>
    <row r="58" spans="1:42" ht="56.15" customHeight="1" x14ac:dyDescent="0.6">
      <c r="A58" s="244"/>
      <c r="B58" s="244"/>
      <c r="C58" s="244"/>
      <c r="D58" s="244"/>
      <c r="E58" s="244"/>
      <c r="F58" s="244"/>
      <c r="G58" s="244"/>
      <c r="H58" s="244"/>
      <c r="I58" s="245"/>
      <c r="J58" s="245"/>
      <c r="K58" s="93"/>
    </row>
    <row r="59" spans="1:42" ht="97.5" customHeight="1" x14ac:dyDescent="0.6">
      <c r="A59" s="220" t="s">
        <v>1</v>
      </c>
      <c r="B59" s="221"/>
      <c r="C59" s="222" t="s">
        <v>29</v>
      </c>
      <c r="D59" s="222"/>
      <c r="E59" s="222"/>
      <c r="F59" s="222"/>
      <c r="G59" s="222"/>
      <c r="H59" s="222"/>
      <c r="I59" s="159"/>
      <c r="J59" s="159"/>
      <c r="P59" s="2"/>
      <c r="Q59" s="3"/>
      <c r="R59" s="3"/>
      <c r="S59" s="3"/>
      <c r="T59" s="3"/>
      <c r="U59" s="3"/>
      <c r="V59" s="3"/>
      <c r="W59" s="3"/>
      <c r="X59" s="3"/>
      <c r="Y59" s="3"/>
    </row>
    <row r="60" spans="1:42" ht="97.5" customHeight="1" x14ac:dyDescent="0.6">
      <c r="A60" s="221" t="s">
        <v>3</v>
      </c>
      <c r="B60" s="221"/>
      <c r="C60" s="222" t="s">
        <v>30</v>
      </c>
      <c r="D60" s="222"/>
      <c r="E60" s="222"/>
      <c r="F60" s="222"/>
      <c r="G60" s="222"/>
      <c r="H60" s="222"/>
      <c r="I60" s="160"/>
      <c r="J60" s="160"/>
      <c r="X60" s="3"/>
      <c r="Y60" s="3"/>
    </row>
    <row r="61" spans="1:42" s="6" customFormat="1" ht="49.5" customHeight="1" x14ac:dyDescent="0.6">
      <c r="A61" s="20"/>
      <c r="B61" s="4"/>
      <c r="C61" s="106"/>
      <c r="D61" s="106"/>
      <c r="E61" s="106"/>
      <c r="F61" s="106"/>
      <c r="G61" s="106"/>
      <c r="H61" s="5"/>
      <c r="I61" s="155"/>
      <c r="J61" s="155"/>
      <c r="K61" s="27"/>
      <c r="L61" s="95"/>
      <c r="P61" s="7"/>
      <c r="Q61" s="8"/>
      <c r="R61" s="8"/>
      <c r="S61" s="8"/>
      <c r="T61" s="8"/>
      <c r="U61" s="8"/>
      <c r="V61" s="8"/>
      <c r="W61" s="8"/>
      <c r="X61" s="8"/>
      <c r="Y61" s="8"/>
    </row>
    <row r="62" spans="1:42" ht="97.5" customHeight="1" x14ac:dyDescent="0.6">
      <c r="A62" s="223" t="s">
        <v>5</v>
      </c>
      <c r="B62" s="225"/>
      <c r="C62" s="223" t="s">
        <v>6</v>
      </c>
      <c r="D62" s="224"/>
      <c r="E62" s="224"/>
      <c r="F62" s="224"/>
      <c r="G62" s="224"/>
      <c r="H62" s="225"/>
      <c r="I62" s="226" t="s">
        <v>7</v>
      </c>
      <c r="J62" s="227"/>
      <c r="K62" s="233" t="s">
        <v>309</v>
      </c>
      <c r="L62" s="259" t="s">
        <v>9</v>
      </c>
      <c r="O62" s="8"/>
      <c r="P62" s="8"/>
      <c r="Q62" s="8"/>
      <c r="R62" s="8"/>
      <c r="S62" s="8"/>
      <c r="T62" s="8"/>
      <c r="U62" s="8"/>
      <c r="V62" s="8"/>
      <c r="W62" s="3"/>
      <c r="X62" s="3"/>
      <c r="Y62" s="3"/>
    </row>
    <row r="63" spans="1:42" ht="56.15" customHeight="1" x14ac:dyDescent="0.6">
      <c r="A63" s="223" t="s">
        <v>10</v>
      </c>
      <c r="B63" s="225"/>
      <c r="C63" s="254" t="s">
        <v>11</v>
      </c>
      <c r="D63" s="242" t="s">
        <v>310</v>
      </c>
      <c r="E63" s="223" t="s">
        <v>313</v>
      </c>
      <c r="F63" s="224"/>
      <c r="G63" s="225"/>
      <c r="H63" s="239" t="s">
        <v>315</v>
      </c>
      <c r="I63" s="240" t="s">
        <v>14</v>
      </c>
      <c r="J63" s="240" t="s">
        <v>15</v>
      </c>
      <c r="K63" s="234"/>
      <c r="L63" s="260"/>
      <c r="O63" s="8"/>
      <c r="P63" s="8"/>
      <c r="Q63" s="8"/>
      <c r="R63" s="8"/>
      <c r="S63" s="8"/>
      <c r="T63" s="8"/>
      <c r="U63" s="8"/>
      <c r="V63" s="8"/>
      <c r="W63" s="3"/>
      <c r="X63" s="3"/>
      <c r="Y63" s="3"/>
    </row>
    <row r="64" spans="1:42" ht="97.5" customHeight="1" x14ac:dyDescent="0.6">
      <c r="A64" s="16" t="s">
        <v>16</v>
      </c>
      <c r="B64" s="16" t="s">
        <v>17</v>
      </c>
      <c r="C64" s="255"/>
      <c r="D64" s="243"/>
      <c r="E64" s="16" t="s">
        <v>311</v>
      </c>
      <c r="F64" s="16" t="s">
        <v>312</v>
      </c>
      <c r="G64" s="16" t="s">
        <v>314</v>
      </c>
      <c r="H64" s="239"/>
      <c r="I64" s="241"/>
      <c r="J64" s="241"/>
      <c r="K64" s="235"/>
      <c r="L64" s="261"/>
      <c r="O64" s="8"/>
      <c r="P64" s="8"/>
      <c r="Q64" s="8"/>
      <c r="R64" s="8"/>
      <c r="S64" s="8"/>
      <c r="T64" s="8"/>
      <c r="U64" s="8"/>
      <c r="V64" s="8"/>
      <c r="W64" s="3"/>
      <c r="X64" s="3"/>
      <c r="Y64" s="3"/>
      <c r="AP64" s="1" t="s">
        <v>18</v>
      </c>
    </row>
    <row r="65" spans="1:42" ht="235.5" customHeight="1" x14ac:dyDescent="0.6">
      <c r="A65" s="30">
        <v>12</v>
      </c>
      <c r="B65" s="25" t="s">
        <v>176</v>
      </c>
      <c r="C65" s="103">
        <v>99618.85</v>
      </c>
      <c r="D65" s="104">
        <v>210661.01</v>
      </c>
      <c r="E65" s="104">
        <v>77947.75</v>
      </c>
      <c r="F65" s="146">
        <f>24198.56*8</f>
        <v>193588.48000000001</v>
      </c>
      <c r="G65" s="146">
        <f>E65+F65</f>
        <v>271536.23</v>
      </c>
      <c r="H65" s="18">
        <f>IFERROR(D65/C65*100-100,0)</f>
        <v>111.46701653351752</v>
      </c>
      <c r="I65" s="9">
        <v>0</v>
      </c>
      <c r="J65" s="10">
        <f>IFERROR(I65/#REF!*100,)</f>
        <v>0</v>
      </c>
      <c r="K65" s="28" t="s">
        <v>19</v>
      </c>
      <c r="L65" s="94" t="s">
        <v>19</v>
      </c>
      <c r="O65" s="8"/>
      <c r="P65" s="2"/>
      <c r="Q65" s="3"/>
      <c r="R65" s="3"/>
      <c r="S65" s="3"/>
      <c r="T65" s="3"/>
      <c r="U65" s="3"/>
      <c r="V65" s="3"/>
      <c r="W65" s="3"/>
      <c r="X65" s="3"/>
      <c r="Y65" s="3"/>
      <c r="AP65" s="1" t="s">
        <v>20</v>
      </c>
    </row>
    <row r="66" spans="1:42" ht="91.5" customHeight="1" x14ac:dyDescent="0.6">
      <c r="A66" s="30">
        <v>10</v>
      </c>
      <c r="B66" s="25" t="s">
        <v>237</v>
      </c>
      <c r="C66" s="103">
        <v>100200.36</v>
      </c>
      <c r="D66" s="104">
        <v>0</v>
      </c>
      <c r="E66" s="104">
        <v>4875</v>
      </c>
      <c r="F66" s="146">
        <f>4875*9</f>
        <v>43875</v>
      </c>
      <c r="G66" s="146">
        <f t="shared" ref="G66:G70" si="9">E66+F66</f>
        <v>48750</v>
      </c>
      <c r="H66" s="18">
        <f t="shared" ref="H66:H70" si="10">IFERROR(D66/C66*100-100,0)</f>
        <v>-100</v>
      </c>
      <c r="I66" s="9">
        <v>0</v>
      </c>
      <c r="J66" s="10">
        <f>IFERROR(I66/#REF!*100,)</f>
        <v>0</v>
      </c>
      <c r="K66" s="28" t="s">
        <v>19</v>
      </c>
      <c r="L66" s="94" t="s">
        <v>19</v>
      </c>
      <c r="P66" s="2"/>
      <c r="Q66" s="3"/>
      <c r="R66" s="3"/>
      <c r="S66" s="3"/>
      <c r="T66" s="3"/>
      <c r="U66" s="3"/>
      <c r="V66" s="3"/>
      <c r="W66" s="3"/>
      <c r="X66" s="3"/>
      <c r="Y66" s="3"/>
      <c r="AP66" s="1" t="s">
        <v>22</v>
      </c>
    </row>
    <row r="67" spans="1:42" ht="83.25" customHeight="1" x14ac:dyDescent="0.6">
      <c r="A67" s="46">
        <v>1</v>
      </c>
      <c r="B67" s="31" t="s">
        <v>28</v>
      </c>
      <c r="C67" s="103">
        <v>55000</v>
      </c>
      <c r="D67" s="103">
        <v>0</v>
      </c>
      <c r="E67" s="103">
        <v>2205</v>
      </c>
      <c r="F67" s="111">
        <f>5000+5000</f>
        <v>10000</v>
      </c>
      <c r="G67" s="146">
        <f t="shared" si="9"/>
        <v>12205</v>
      </c>
      <c r="H67" s="18">
        <f t="shared" si="10"/>
        <v>-100</v>
      </c>
      <c r="I67" s="9">
        <v>0</v>
      </c>
      <c r="J67" s="10">
        <f>IFERROR(I67/#REF!*100,)</f>
        <v>0</v>
      </c>
      <c r="K67" s="28" t="s">
        <v>19</v>
      </c>
      <c r="L67" s="94" t="s">
        <v>19</v>
      </c>
      <c r="M67" s="50"/>
      <c r="P67" s="2"/>
      <c r="Q67" s="3"/>
      <c r="R67" s="3"/>
      <c r="S67" s="3"/>
      <c r="T67" s="3"/>
      <c r="U67" s="3"/>
      <c r="V67" s="3"/>
      <c r="W67" s="3"/>
      <c r="X67" s="3"/>
      <c r="Y67" s="3"/>
    </row>
    <row r="68" spans="1:42" ht="84.65" customHeight="1" x14ac:dyDescent="0.6">
      <c r="A68" s="30">
        <v>2</v>
      </c>
      <c r="B68" s="32" t="s">
        <v>323</v>
      </c>
      <c r="C68" s="103">
        <v>0</v>
      </c>
      <c r="D68" s="103">
        <v>0</v>
      </c>
      <c r="E68" s="103">
        <f>774+2187.4</f>
        <v>2961.4</v>
      </c>
      <c r="F68" s="111">
        <v>0</v>
      </c>
      <c r="G68" s="146">
        <f t="shared" si="9"/>
        <v>2961.4</v>
      </c>
      <c r="H68" s="18">
        <f t="shared" si="10"/>
        <v>0</v>
      </c>
      <c r="I68" s="9">
        <v>0</v>
      </c>
      <c r="J68" s="10"/>
      <c r="K68" s="28" t="s">
        <v>19</v>
      </c>
      <c r="L68" s="94" t="s">
        <v>19</v>
      </c>
      <c r="P68" s="2"/>
      <c r="Q68" s="3"/>
      <c r="R68" s="3"/>
      <c r="S68" s="3"/>
      <c r="T68" s="3"/>
      <c r="U68" s="3"/>
      <c r="V68" s="3"/>
      <c r="W68" s="3"/>
      <c r="X68" s="3"/>
      <c r="Y68" s="3"/>
    </row>
    <row r="69" spans="1:42" ht="203.25" customHeight="1" x14ac:dyDescent="0.6">
      <c r="A69" s="46">
        <v>1</v>
      </c>
      <c r="B69" s="32" t="s">
        <v>189</v>
      </c>
      <c r="C69" s="103"/>
      <c r="D69" s="103">
        <v>0</v>
      </c>
      <c r="E69" s="103">
        <v>0</v>
      </c>
      <c r="F69" s="111">
        <f>50000-10000</f>
        <v>40000</v>
      </c>
      <c r="G69" s="146">
        <f t="shared" si="9"/>
        <v>40000</v>
      </c>
      <c r="H69" s="18">
        <f t="shared" si="10"/>
        <v>0</v>
      </c>
      <c r="I69" s="9">
        <v>0</v>
      </c>
      <c r="J69" s="10"/>
      <c r="K69" s="28" t="s">
        <v>188</v>
      </c>
      <c r="L69" s="94" t="s">
        <v>19</v>
      </c>
    </row>
    <row r="70" spans="1:42" ht="203.25" customHeight="1" x14ac:dyDescent="0.6">
      <c r="A70" s="46">
        <v>1</v>
      </c>
      <c r="B70" s="32" t="s">
        <v>277</v>
      </c>
      <c r="C70" s="103"/>
      <c r="D70" s="103">
        <v>0</v>
      </c>
      <c r="E70" s="103">
        <v>0</v>
      </c>
      <c r="F70" s="111">
        <v>5000</v>
      </c>
      <c r="G70" s="146">
        <f t="shared" si="9"/>
        <v>5000</v>
      </c>
      <c r="H70" s="18">
        <f t="shared" si="10"/>
        <v>0</v>
      </c>
      <c r="I70" s="9">
        <v>0</v>
      </c>
      <c r="J70" s="10"/>
      <c r="K70" s="28" t="s">
        <v>278</v>
      </c>
      <c r="L70" s="94" t="s">
        <v>19</v>
      </c>
    </row>
    <row r="71" spans="1:42" s="12" customFormat="1" ht="56.15" customHeight="1" x14ac:dyDescent="0.35">
      <c r="A71" s="228" t="s">
        <v>25</v>
      </c>
      <c r="B71" s="228"/>
      <c r="C71" s="91">
        <f>SUM(C65:C68)</f>
        <v>254819.21000000002</v>
      </c>
      <c r="D71" s="91">
        <f>SUM(D65:D70)</f>
        <v>210661.01</v>
      </c>
      <c r="E71" s="91">
        <f>SUM(E65:E70)</f>
        <v>87989.15</v>
      </c>
      <c r="F71" s="91">
        <f>SUM(F65:F70)</f>
        <v>292463.48</v>
      </c>
      <c r="G71" s="91">
        <f>SUM(G65:G70)</f>
        <v>380452.63</v>
      </c>
      <c r="H71" s="19">
        <f>IFERROR(D71/C71*100-100,0)</f>
        <v>-17.329227258808316</v>
      </c>
      <c r="I71" s="19">
        <f>SUM(I65:I70)</f>
        <v>0</v>
      </c>
      <c r="J71" s="19">
        <f>IFERROR(I71/#REF!*100,)</f>
        <v>0</v>
      </c>
      <c r="K71" s="36"/>
      <c r="L71" s="96">
        <f>SUM(L65:L68)</f>
        <v>0</v>
      </c>
      <c r="M71" s="55"/>
    </row>
    <row r="72" spans="1:42" ht="55.9" customHeight="1" x14ac:dyDescent="0.6">
      <c r="A72" s="244"/>
      <c r="B72" s="244"/>
      <c r="C72" s="244"/>
      <c r="D72" s="244"/>
      <c r="E72" s="244"/>
      <c r="F72" s="244"/>
      <c r="G72" s="244"/>
      <c r="H72" s="244"/>
      <c r="I72" s="245"/>
      <c r="J72" s="245"/>
    </row>
    <row r="73" spans="1:42" ht="97.5" customHeight="1" x14ac:dyDescent="0.6">
      <c r="A73" s="220" t="s">
        <v>1</v>
      </c>
      <c r="B73" s="221"/>
      <c r="C73" s="222" t="s">
        <v>42</v>
      </c>
      <c r="D73" s="222"/>
      <c r="E73" s="222"/>
      <c r="F73" s="222"/>
      <c r="G73" s="222"/>
      <c r="H73" s="222"/>
      <c r="I73" s="159"/>
      <c r="J73" s="159"/>
      <c r="P73" s="2"/>
      <c r="Q73" s="3"/>
      <c r="R73" s="3"/>
      <c r="S73" s="3"/>
      <c r="T73" s="3"/>
      <c r="U73" s="3"/>
      <c r="V73" s="3"/>
      <c r="W73" s="3"/>
      <c r="X73" s="3"/>
      <c r="Y73" s="3"/>
    </row>
    <row r="74" spans="1:42" ht="97.5" customHeight="1" x14ac:dyDescent="0.6">
      <c r="A74" s="221" t="s">
        <v>3</v>
      </c>
      <c r="B74" s="221"/>
      <c r="C74" s="222" t="s">
        <v>43</v>
      </c>
      <c r="D74" s="222"/>
      <c r="E74" s="222"/>
      <c r="F74" s="222"/>
      <c r="G74" s="222"/>
      <c r="H74" s="222"/>
      <c r="I74" s="160"/>
      <c r="J74" s="160"/>
      <c r="X74" s="3"/>
      <c r="Y74" s="3"/>
    </row>
    <row r="75" spans="1:42" s="6" customFormat="1" ht="49.5" customHeight="1" x14ac:dyDescent="0.6">
      <c r="A75" s="20"/>
      <c r="B75" s="4"/>
      <c r="C75" s="106"/>
      <c r="D75" s="106"/>
      <c r="E75" s="106"/>
      <c r="F75" s="106"/>
      <c r="G75" s="106"/>
      <c r="H75" s="5"/>
      <c r="I75" s="155"/>
      <c r="J75" s="155"/>
      <c r="K75" s="27"/>
      <c r="L75" s="95"/>
      <c r="P75" s="7"/>
      <c r="Q75" s="8"/>
      <c r="R75" s="8"/>
      <c r="S75" s="8"/>
      <c r="T75" s="8"/>
      <c r="U75" s="8"/>
      <c r="V75" s="8"/>
      <c r="W75" s="8"/>
      <c r="X75" s="8"/>
      <c r="Y75" s="8"/>
    </row>
    <row r="76" spans="1:42" ht="97.5" customHeight="1" x14ac:dyDescent="0.6">
      <c r="A76" s="223" t="s">
        <v>5</v>
      </c>
      <c r="B76" s="224"/>
      <c r="C76" s="223" t="s">
        <v>6</v>
      </c>
      <c r="D76" s="224"/>
      <c r="E76" s="224"/>
      <c r="F76" s="224"/>
      <c r="G76" s="224"/>
      <c r="H76" s="225"/>
      <c r="I76" s="226" t="s">
        <v>7</v>
      </c>
      <c r="J76" s="227"/>
      <c r="K76" s="233" t="s">
        <v>309</v>
      </c>
      <c r="L76" s="236" t="s">
        <v>9</v>
      </c>
      <c r="O76" s="8"/>
      <c r="P76" s="8"/>
      <c r="Q76" s="8"/>
      <c r="R76" s="8"/>
      <c r="S76" s="8"/>
      <c r="T76" s="8"/>
      <c r="U76" s="8"/>
      <c r="V76" s="8"/>
      <c r="W76" s="3"/>
      <c r="X76" s="3"/>
      <c r="Y76" s="3"/>
    </row>
    <row r="77" spans="1:42" ht="56.15" customHeight="1" x14ac:dyDescent="0.6">
      <c r="A77" s="223" t="s">
        <v>10</v>
      </c>
      <c r="B77" s="224"/>
      <c r="C77" s="229" t="s">
        <v>11</v>
      </c>
      <c r="D77" s="242" t="s">
        <v>310</v>
      </c>
      <c r="E77" s="223" t="s">
        <v>313</v>
      </c>
      <c r="F77" s="224"/>
      <c r="G77" s="225"/>
      <c r="H77" s="239" t="s">
        <v>315</v>
      </c>
      <c r="I77" s="240" t="s">
        <v>14</v>
      </c>
      <c r="J77" s="240" t="s">
        <v>15</v>
      </c>
      <c r="K77" s="234"/>
      <c r="L77" s="237"/>
      <c r="O77" s="8"/>
      <c r="P77" s="8"/>
      <c r="Q77" s="8"/>
      <c r="R77" s="8"/>
      <c r="S77" s="8"/>
      <c r="T77" s="8"/>
      <c r="U77" s="8"/>
      <c r="V77" s="8"/>
      <c r="W77" s="3"/>
      <c r="X77" s="3"/>
      <c r="Y77" s="3"/>
    </row>
    <row r="78" spans="1:42" ht="97.5" customHeight="1" x14ac:dyDescent="0.6">
      <c r="A78" s="16" t="s">
        <v>16</v>
      </c>
      <c r="B78" s="16" t="s">
        <v>17</v>
      </c>
      <c r="C78" s="230"/>
      <c r="D78" s="243"/>
      <c r="E78" s="16" t="s">
        <v>311</v>
      </c>
      <c r="F78" s="16" t="s">
        <v>312</v>
      </c>
      <c r="G78" s="16" t="s">
        <v>314</v>
      </c>
      <c r="H78" s="239"/>
      <c r="I78" s="241"/>
      <c r="J78" s="241"/>
      <c r="K78" s="235"/>
      <c r="L78" s="238"/>
      <c r="O78" s="8"/>
      <c r="P78" s="8"/>
      <c r="Q78" s="8"/>
      <c r="R78" s="8"/>
      <c r="S78" s="8"/>
      <c r="T78" s="8"/>
      <c r="U78" s="8"/>
      <c r="V78" s="8"/>
      <c r="W78" s="3"/>
      <c r="X78" s="3"/>
      <c r="Y78" s="3"/>
      <c r="AP78" s="1" t="s">
        <v>18</v>
      </c>
    </row>
    <row r="79" spans="1:42" ht="78" x14ac:dyDescent="0.6">
      <c r="A79" s="37">
        <v>1</v>
      </c>
      <c r="B79" s="32" t="s">
        <v>324</v>
      </c>
      <c r="C79" s="103">
        <v>105000</v>
      </c>
      <c r="D79" s="104">
        <v>50000</v>
      </c>
      <c r="E79" s="103">
        <v>2127.5</v>
      </c>
      <c r="F79" s="146">
        <f>E79*9</f>
        <v>19147.5</v>
      </c>
      <c r="G79" s="146">
        <f>E79+F79</f>
        <v>21275</v>
      </c>
      <c r="H79" s="18">
        <f>IFERROR(D79/C79*100-100,0)</f>
        <v>-52.380952380952387</v>
      </c>
      <c r="I79" s="9">
        <v>0</v>
      </c>
      <c r="J79" s="10">
        <f>IFERROR(I79/#REF!*100,)</f>
        <v>0</v>
      </c>
      <c r="K79" s="28" t="s">
        <v>19</v>
      </c>
      <c r="L79" s="94" t="s">
        <v>19</v>
      </c>
      <c r="O79" s="8"/>
      <c r="P79" s="2"/>
      <c r="Q79" s="3"/>
      <c r="R79" s="3"/>
      <c r="S79" s="3"/>
      <c r="T79" s="3"/>
      <c r="U79" s="3"/>
      <c r="V79" s="3"/>
      <c r="W79" s="3"/>
      <c r="X79" s="3"/>
      <c r="Y79" s="3"/>
      <c r="AP79" s="1" t="s">
        <v>20</v>
      </c>
    </row>
    <row r="80" spans="1:42" ht="57" customHeight="1" x14ac:dyDescent="0.6">
      <c r="A80" s="37">
        <v>12</v>
      </c>
      <c r="B80" s="32" t="s">
        <v>325</v>
      </c>
      <c r="C80" s="103">
        <v>33569.42</v>
      </c>
      <c r="D80" s="104">
        <v>0</v>
      </c>
      <c r="E80" s="103">
        <v>8549.44</v>
      </c>
      <c r="F80" s="146">
        <f>(E80/3)*8</f>
        <v>22798.506666666668</v>
      </c>
      <c r="G80" s="146">
        <f t="shared" ref="G80:G87" si="11">E80+F80</f>
        <v>31347.94666666667</v>
      </c>
      <c r="H80" s="18">
        <f>IFERROR(D80/C80*100-100,0)</f>
        <v>-100</v>
      </c>
      <c r="I80" s="9">
        <v>0</v>
      </c>
      <c r="J80" s="10">
        <f>IFERROR(I80/#REF!*100,)</f>
        <v>0</v>
      </c>
      <c r="K80" s="28" t="s">
        <v>19</v>
      </c>
      <c r="L80" s="94" t="s">
        <v>19</v>
      </c>
      <c r="O80" s="8"/>
      <c r="P80" s="2"/>
      <c r="Q80" s="3"/>
      <c r="R80" s="3"/>
      <c r="S80" s="3"/>
      <c r="T80" s="3"/>
      <c r="U80" s="3"/>
      <c r="V80" s="3"/>
      <c r="W80" s="3"/>
      <c r="X80" s="3"/>
      <c r="Y80" s="3"/>
    </row>
    <row r="81" spans="1:42" ht="84.65" customHeight="1" x14ac:dyDescent="0.6">
      <c r="A81" s="37">
        <v>2</v>
      </c>
      <c r="B81" s="32" t="s">
        <v>326</v>
      </c>
      <c r="C81" s="103">
        <v>0</v>
      </c>
      <c r="D81" s="104">
        <v>0</v>
      </c>
      <c r="E81" s="104">
        <v>880</v>
      </c>
      <c r="F81" s="146">
        <v>0</v>
      </c>
      <c r="G81" s="146">
        <f t="shared" si="11"/>
        <v>880</v>
      </c>
      <c r="H81" s="18">
        <f>IFERROR(D81/C81*100-100,0)</f>
        <v>0</v>
      </c>
      <c r="I81" s="9">
        <v>0</v>
      </c>
      <c r="J81" s="10">
        <f>IFERROR(I81/#REF!*100,)</f>
        <v>0</v>
      </c>
      <c r="K81" s="28" t="s">
        <v>19</v>
      </c>
      <c r="L81" s="94" t="s">
        <v>19</v>
      </c>
      <c r="O81" s="8"/>
      <c r="P81" s="2"/>
      <c r="Q81" s="3"/>
      <c r="R81" s="3"/>
      <c r="S81" s="3"/>
      <c r="T81" s="3"/>
      <c r="U81" s="3"/>
      <c r="V81" s="3"/>
      <c r="W81" s="3"/>
      <c r="X81" s="3"/>
      <c r="Y81" s="3"/>
    </row>
    <row r="82" spans="1:42" ht="57" customHeight="1" x14ac:dyDescent="0.6">
      <c r="A82" s="38">
        <v>1</v>
      </c>
      <c r="B82" s="31" t="s">
        <v>152</v>
      </c>
      <c r="C82" s="103">
        <v>0</v>
      </c>
      <c r="D82" s="104">
        <v>0</v>
      </c>
      <c r="E82" s="104">
        <v>3608.21</v>
      </c>
      <c r="F82" s="146">
        <v>10000</v>
      </c>
      <c r="G82" s="146">
        <f t="shared" si="11"/>
        <v>13608.21</v>
      </c>
      <c r="H82" s="18">
        <f t="shared" ref="H82:H84" si="12">IFERROR(D82/C82*100-100,0)</f>
        <v>0</v>
      </c>
      <c r="I82" s="9">
        <v>0</v>
      </c>
      <c r="J82" s="10">
        <f>IFERROR(I82/#REF!*100,)</f>
        <v>0</v>
      </c>
      <c r="K82" s="28" t="s">
        <v>19</v>
      </c>
      <c r="L82" s="94" t="s">
        <v>19</v>
      </c>
      <c r="O82" s="8"/>
      <c r="P82" s="2"/>
      <c r="Q82" s="3"/>
      <c r="R82" s="3"/>
      <c r="S82" s="3"/>
      <c r="T82" s="3"/>
      <c r="U82" s="3"/>
      <c r="V82" s="3"/>
      <c r="W82" s="3"/>
      <c r="X82" s="3"/>
      <c r="Y82" s="3"/>
    </row>
    <row r="83" spans="1:42" ht="57" customHeight="1" x14ac:dyDescent="0.6">
      <c r="A83" s="38">
        <v>1</v>
      </c>
      <c r="B83" s="25" t="s">
        <v>327</v>
      </c>
      <c r="C83" s="103">
        <v>0</v>
      </c>
      <c r="D83" s="104">
        <v>0</v>
      </c>
      <c r="E83" s="104">
        <v>334</v>
      </c>
      <c r="F83" s="146">
        <f>E83*8</f>
        <v>2672</v>
      </c>
      <c r="G83" s="146">
        <f t="shared" si="11"/>
        <v>3006</v>
      </c>
      <c r="H83" s="18">
        <f t="shared" si="12"/>
        <v>0</v>
      </c>
      <c r="I83" s="9">
        <v>0</v>
      </c>
      <c r="J83" s="10">
        <f>IFERROR(I83/#REF!*100,)</f>
        <v>0</v>
      </c>
      <c r="K83" s="28" t="s">
        <v>19</v>
      </c>
      <c r="L83" s="94" t="s">
        <v>19</v>
      </c>
      <c r="O83" s="8"/>
      <c r="P83" s="2"/>
      <c r="Q83" s="3"/>
      <c r="R83" s="3"/>
      <c r="S83" s="3"/>
      <c r="T83" s="3"/>
      <c r="U83" s="3"/>
      <c r="V83" s="3"/>
      <c r="W83" s="3"/>
      <c r="X83" s="3"/>
      <c r="Y83" s="3"/>
    </row>
    <row r="84" spans="1:42" ht="78" x14ac:dyDescent="0.6">
      <c r="A84" s="38">
        <v>1</v>
      </c>
      <c r="B84" s="32" t="s">
        <v>44</v>
      </c>
      <c r="C84" s="107">
        <v>30000</v>
      </c>
      <c r="D84" s="104">
        <v>30000</v>
      </c>
      <c r="E84" s="104">
        <v>59.4</v>
      </c>
      <c r="F84" s="146">
        <f>(D84-E84)/2</f>
        <v>14970.3</v>
      </c>
      <c r="G84" s="146">
        <f t="shared" si="11"/>
        <v>15029.699999999999</v>
      </c>
      <c r="H84" s="18">
        <f t="shared" si="12"/>
        <v>0</v>
      </c>
      <c r="I84" s="9">
        <v>0</v>
      </c>
      <c r="J84" s="10">
        <f>IFERROR(I84/#REF!*100,)</f>
        <v>0</v>
      </c>
      <c r="K84" s="28" t="s">
        <v>19</v>
      </c>
      <c r="L84" s="94" t="s">
        <v>19</v>
      </c>
      <c r="M84" s="48"/>
    </row>
    <row r="85" spans="1:42" ht="130" hidden="1" x14ac:dyDescent="0.6">
      <c r="A85" s="90">
        <v>0.01</v>
      </c>
      <c r="B85" s="69" t="s">
        <v>45</v>
      </c>
      <c r="C85" s="105">
        <v>20000</v>
      </c>
      <c r="D85" s="105">
        <v>0</v>
      </c>
      <c r="E85" s="105">
        <v>0</v>
      </c>
      <c r="F85" s="110">
        <v>0</v>
      </c>
      <c r="G85" s="146">
        <f t="shared" si="11"/>
        <v>0</v>
      </c>
      <c r="H85" s="76">
        <f>IFERROR(D85/C85*100-100,0)</f>
        <v>-100</v>
      </c>
      <c r="I85" s="77"/>
      <c r="J85" s="10">
        <f>IFERROR(I85/#REF!*100,)</f>
        <v>0</v>
      </c>
      <c r="K85" s="79" t="s">
        <v>19</v>
      </c>
      <c r="L85" s="97" t="s">
        <v>19</v>
      </c>
      <c r="M85" s="48"/>
    </row>
    <row r="86" spans="1:42" ht="52" x14ac:dyDescent="0.6">
      <c r="A86" s="38">
        <v>1</v>
      </c>
      <c r="B86" s="32" t="s">
        <v>179</v>
      </c>
      <c r="C86" s="107">
        <v>0</v>
      </c>
      <c r="D86" s="104">
        <v>0</v>
      </c>
      <c r="E86" s="104">
        <v>7775.2</v>
      </c>
      <c r="F86" s="146">
        <v>0</v>
      </c>
      <c r="G86" s="146">
        <f t="shared" si="11"/>
        <v>7775.2</v>
      </c>
      <c r="H86" s="18">
        <f>IFERROR(D86/C86*100-100,0)</f>
        <v>0</v>
      </c>
      <c r="I86" s="9">
        <v>0</v>
      </c>
      <c r="J86" s="10">
        <f>IFERROR(I86/#REF!*100,)</f>
        <v>0</v>
      </c>
      <c r="K86" s="28" t="s">
        <v>19</v>
      </c>
      <c r="L86" s="94" t="s">
        <v>19</v>
      </c>
      <c r="M86" s="48"/>
    </row>
    <row r="87" spans="1:42" x14ac:dyDescent="0.6">
      <c r="A87" s="38">
        <v>1</v>
      </c>
      <c r="B87" s="32" t="s">
        <v>136</v>
      </c>
      <c r="C87" s="107">
        <v>0</v>
      </c>
      <c r="D87" s="104">
        <v>40000</v>
      </c>
      <c r="E87" s="104">
        <v>0</v>
      </c>
      <c r="F87" s="146">
        <v>40000</v>
      </c>
      <c r="G87" s="146">
        <f t="shared" si="11"/>
        <v>40000</v>
      </c>
      <c r="H87" s="18">
        <f>IFERROR(D87/C87*100-100,0)</f>
        <v>0</v>
      </c>
      <c r="I87" s="9">
        <v>0</v>
      </c>
      <c r="J87" s="10">
        <f>IFERROR(I87/#REF!*100,)</f>
        <v>0</v>
      </c>
      <c r="K87" s="28" t="s">
        <v>19</v>
      </c>
      <c r="L87" s="94" t="s">
        <v>19</v>
      </c>
      <c r="M87" s="48"/>
    </row>
    <row r="88" spans="1:42" s="12" customFormat="1" ht="56.15" customHeight="1" x14ac:dyDescent="0.35">
      <c r="A88" s="228" t="s">
        <v>25</v>
      </c>
      <c r="B88" s="228"/>
      <c r="C88" s="91">
        <f>SUM(C79:C87)</f>
        <v>188569.41999999998</v>
      </c>
      <c r="D88" s="91">
        <f>SUM(D79:D87)</f>
        <v>120000</v>
      </c>
      <c r="E88" s="91">
        <f>SUM(E79:E87)</f>
        <v>23333.75</v>
      </c>
      <c r="F88" s="91">
        <f>SUM(F79:F87)</f>
        <v>109588.30666666667</v>
      </c>
      <c r="G88" s="91">
        <f>SUM(G79:G87)</f>
        <v>132922.05666666667</v>
      </c>
      <c r="H88" s="19">
        <f>IFERROR(D88/C88*100-100,0)</f>
        <v>-36.362958532724974</v>
      </c>
      <c r="I88" s="19">
        <f>SUM(I79:I84)</f>
        <v>0</v>
      </c>
      <c r="J88" s="19">
        <f>IFERROR(I88/#REF!*100,)</f>
        <v>0</v>
      </c>
      <c r="K88" s="36"/>
      <c r="L88" s="96">
        <f>SUM(L79:L84)</f>
        <v>0</v>
      </c>
      <c r="M88" s="55"/>
    </row>
    <row r="89" spans="1:42" ht="55.9" customHeight="1" x14ac:dyDescent="0.6">
      <c r="A89" s="88"/>
      <c r="B89" s="88"/>
      <c r="C89" s="88"/>
      <c r="D89" s="88"/>
      <c r="E89" s="88"/>
      <c r="F89" s="88"/>
      <c r="G89" s="88"/>
      <c r="H89" s="88"/>
      <c r="I89" s="161"/>
      <c r="J89" s="161"/>
    </row>
    <row r="90" spans="1:42" ht="97.5" customHeight="1" x14ac:dyDescent="0.6">
      <c r="A90" s="220" t="s">
        <v>1</v>
      </c>
      <c r="B90" s="221"/>
      <c r="C90" s="222" t="s">
        <v>124</v>
      </c>
      <c r="D90" s="222"/>
      <c r="E90" s="222"/>
      <c r="F90" s="222"/>
      <c r="G90" s="222"/>
      <c r="H90" s="222"/>
      <c r="I90" s="159"/>
      <c r="J90" s="159"/>
      <c r="P90" s="2"/>
      <c r="Q90" s="3"/>
      <c r="R90" s="3"/>
      <c r="S90" s="3"/>
      <c r="T90" s="3"/>
      <c r="U90" s="3"/>
      <c r="V90" s="3"/>
      <c r="W90" s="3"/>
      <c r="X90" s="3"/>
      <c r="Y90" s="3"/>
    </row>
    <row r="91" spans="1:42" ht="97.5" customHeight="1" x14ac:dyDescent="0.6">
      <c r="A91" s="221" t="s">
        <v>3</v>
      </c>
      <c r="B91" s="221"/>
      <c r="C91" s="222" t="s">
        <v>41</v>
      </c>
      <c r="D91" s="222"/>
      <c r="E91" s="222"/>
      <c r="F91" s="222"/>
      <c r="G91" s="222"/>
      <c r="H91" s="222"/>
      <c r="I91" s="160"/>
      <c r="J91" s="160"/>
      <c r="X91" s="3"/>
      <c r="Y91" s="3"/>
    </row>
    <row r="92" spans="1:42" s="6" customFormat="1" ht="49.5" customHeight="1" x14ac:dyDescent="0.6">
      <c r="A92" s="20"/>
      <c r="B92" s="4"/>
      <c r="C92" s="106"/>
      <c r="D92" s="106"/>
      <c r="E92" s="106"/>
      <c r="F92" s="106"/>
      <c r="G92" s="106"/>
      <c r="H92" s="5"/>
      <c r="I92" s="155"/>
      <c r="J92" s="155"/>
      <c r="K92" s="27"/>
      <c r="L92" s="95"/>
      <c r="P92" s="7"/>
      <c r="Q92" s="8"/>
      <c r="R92" s="8"/>
      <c r="S92" s="8"/>
      <c r="T92" s="8"/>
      <c r="U92" s="8"/>
      <c r="V92" s="8"/>
      <c r="W92" s="8"/>
      <c r="X92" s="8"/>
      <c r="Y92" s="8"/>
    </row>
    <row r="93" spans="1:42" ht="97.5" customHeight="1" x14ac:dyDescent="0.6">
      <c r="A93" s="223" t="s">
        <v>5</v>
      </c>
      <c r="B93" s="224"/>
      <c r="C93" s="223" t="s">
        <v>6</v>
      </c>
      <c r="D93" s="224"/>
      <c r="E93" s="224"/>
      <c r="F93" s="224"/>
      <c r="G93" s="224"/>
      <c r="H93" s="225"/>
      <c r="I93" s="226" t="s">
        <v>7</v>
      </c>
      <c r="J93" s="227"/>
      <c r="K93" s="233" t="s">
        <v>309</v>
      </c>
      <c r="L93" s="236" t="s">
        <v>9</v>
      </c>
      <c r="O93" s="8"/>
      <c r="P93" s="8"/>
      <c r="Q93" s="8"/>
      <c r="R93" s="8"/>
      <c r="S93" s="8"/>
      <c r="T93" s="8"/>
      <c r="U93" s="8"/>
      <c r="V93" s="8"/>
      <c r="W93" s="3"/>
      <c r="X93" s="3"/>
      <c r="Y93" s="3"/>
    </row>
    <row r="94" spans="1:42" ht="56.15" customHeight="1" x14ac:dyDescent="0.6">
      <c r="A94" s="223" t="s">
        <v>10</v>
      </c>
      <c r="B94" s="224"/>
      <c r="C94" s="229" t="s">
        <v>11</v>
      </c>
      <c r="D94" s="242" t="s">
        <v>310</v>
      </c>
      <c r="E94" s="223" t="s">
        <v>313</v>
      </c>
      <c r="F94" s="224"/>
      <c r="G94" s="225"/>
      <c r="H94" s="239" t="s">
        <v>315</v>
      </c>
      <c r="I94" s="240" t="s">
        <v>14</v>
      </c>
      <c r="J94" s="240" t="s">
        <v>15</v>
      </c>
      <c r="K94" s="234"/>
      <c r="L94" s="237"/>
      <c r="O94" s="8"/>
      <c r="P94" s="8"/>
      <c r="Q94" s="8"/>
      <c r="R94" s="8"/>
      <c r="S94" s="8"/>
      <c r="T94" s="8"/>
      <c r="U94" s="8"/>
      <c r="V94" s="8"/>
      <c r="W94" s="3"/>
      <c r="X94" s="3"/>
      <c r="Y94" s="3"/>
    </row>
    <row r="95" spans="1:42" ht="97.5" customHeight="1" x14ac:dyDescent="0.6">
      <c r="A95" s="16" t="s">
        <v>16</v>
      </c>
      <c r="B95" s="16" t="s">
        <v>17</v>
      </c>
      <c r="C95" s="230"/>
      <c r="D95" s="243"/>
      <c r="E95" s="16" t="s">
        <v>311</v>
      </c>
      <c r="F95" s="16" t="s">
        <v>312</v>
      </c>
      <c r="G95" s="16" t="s">
        <v>314</v>
      </c>
      <c r="H95" s="239"/>
      <c r="I95" s="241"/>
      <c r="J95" s="241"/>
      <c r="K95" s="235"/>
      <c r="L95" s="238"/>
      <c r="O95" s="8"/>
      <c r="P95" s="8"/>
      <c r="Q95" s="8"/>
      <c r="R95" s="8"/>
      <c r="S95" s="8"/>
      <c r="T95" s="8"/>
      <c r="U95" s="8"/>
      <c r="V95" s="8"/>
      <c r="W95" s="3"/>
      <c r="X95" s="3"/>
      <c r="Y95" s="3"/>
      <c r="AP95" s="1" t="s">
        <v>18</v>
      </c>
    </row>
    <row r="96" spans="1:42" ht="116.15" customHeight="1" x14ac:dyDescent="0.6">
      <c r="A96" s="30">
        <v>30</v>
      </c>
      <c r="B96" s="51" t="s">
        <v>328</v>
      </c>
      <c r="C96" s="103">
        <v>12473.04</v>
      </c>
      <c r="D96" s="104">
        <v>30000</v>
      </c>
      <c r="E96" s="104">
        <v>5517.45</v>
      </c>
      <c r="F96" s="146">
        <f>50000-E96</f>
        <v>44482.55</v>
      </c>
      <c r="G96" s="146">
        <f>E96+F96</f>
        <v>50000</v>
      </c>
      <c r="H96" s="18">
        <f>IFERROR(D96/C96*100-100,0)</f>
        <v>140.51875084181563</v>
      </c>
      <c r="I96" s="9">
        <v>0</v>
      </c>
      <c r="J96" s="10">
        <f>IFERROR(I96/#REF!*100,)</f>
        <v>0</v>
      </c>
      <c r="K96" s="28" t="s">
        <v>19</v>
      </c>
      <c r="L96" s="94" t="s">
        <v>19</v>
      </c>
    </row>
    <row r="97" spans="1:42" s="12" customFormat="1" ht="56.15" customHeight="1" x14ac:dyDescent="0.35">
      <c r="A97" s="228" t="s">
        <v>25</v>
      </c>
      <c r="B97" s="228"/>
      <c r="C97" s="91">
        <f>SUM(C96:C96)</f>
        <v>12473.04</v>
      </c>
      <c r="D97" s="91">
        <f>SUM(D96:D96)</f>
        <v>30000</v>
      </c>
      <c r="E97" s="91">
        <f>SUM(E96)</f>
        <v>5517.45</v>
      </c>
      <c r="F97" s="91">
        <f>SUM(F96)</f>
        <v>44482.55</v>
      </c>
      <c r="G97" s="91">
        <f>SUM(G96)</f>
        <v>50000</v>
      </c>
      <c r="H97" s="19">
        <f>IFERROR(D97/C97*100-100,0)</f>
        <v>140.51875084181563</v>
      </c>
      <c r="I97" s="19">
        <f>SUM(I96:I96)</f>
        <v>0</v>
      </c>
      <c r="J97" s="19">
        <f>IFERROR(I97/#REF!*100,)</f>
        <v>0</v>
      </c>
      <c r="K97" s="36"/>
      <c r="L97" s="96">
        <f>SUM(L96:L96)</f>
        <v>0</v>
      </c>
      <c r="M97" s="55"/>
    </row>
    <row r="98" spans="1:42" ht="55.9" customHeight="1" x14ac:dyDescent="0.6">
      <c r="A98" s="88"/>
      <c r="B98" s="88"/>
      <c r="C98" s="88"/>
      <c r="D98" s="88"/>
      <c r="E98" s="88"/>
      <c r="F98" s="88"/>
      <c r="G98" s="88"/>
      <c r="H98" s="88"/>
      <c r="I98" s="161"/>
      <c r="J98" s="161"/>
    </row>
    <row r="99" spans="1:42" ht="97.5" customHeight="1" x14ac:dyDescent="0.6">
      <c r="A99" s="220" t="s">
        <v>1</v>
      </c>
      <c r="B99" s="221"/>
      <c r="C99" s="222" t="s">
        <v>115</v>
      </c>
      <c r="D99" s="222"/>
      <c r="E99" s="222"/>
      <c r="F99" s="222"/>
      <c r="G99" s="222"/>
      <c r="H99" s="222"/>
      <c r="I99" s="159"/>
      <c r="J99" s="159"/>
      <c r="P99" s="2"/>
      <c r="Q99" s="3"/>
      <c r="R99" s="3"/>
      <c r="S99" s="3"/>
      <c r="T99" s="3"/>
      <c r="U99" s="3"/>
      <c r="V99" s="3"/>
      <c r="W99" s="3"/>
      <c r="X99" s="3"/>
      <c r="Y99" s="3"/>
    </row>
    <row r="100" spans="1:42" ht="97.5" customHeight="1" x14ac:dyDescent="0.6">
      <c r="A100" s="221" t="s">
        <v>3</v>
      </c>
      <c r="B100" s="221"/>
      <c r="C100" s="222" t="s">
        <v>116</v>
      </c>
      <c r="D100" s="222"/>
      <c r="E100" s="222"/>
      <c r="F100" s="222"/>
      <c r="G100" s="222"/>
      <c r="H100" s="222"/>
      <c r="I100" s="160"/>
      <c r="J100" s="160"/>
      <c r="X100" s="3"/>
      <c r="Y100" s="3"/>
    </row>
    <row r="101" spans="1:42" s="6" customFormat="1" ht="49.5" customHeight="1" x14ac:dyDescent="0.6">
      <c r="A101" s="20"/>
      <c r="B101" s="4"/>
      <c r="C101" s="106"/>
      <c r="D101" s="106"/>
      <c r="E101" s="106"/>
      <c r="F101" s="106"/>
      <c r="G101" s="106"/>
      <c r="H101" s="5"/>
      <c r="I101" s="155"/>
      <c r="J101" s="155"/>
      <c r="K101" s="27"/>
      <c r="L101" s="95"/>
      <c r="P101" s="7"/>
      <c r="Q101" s="8"/>
      <c r="R101" s="8"/>
      <c r="S101" s="8"/>
      <c r="T101" s="8"/>
      <c r="U101" s="8"/>
      <c r="V101" s="8"/>
      <c r="W101" s="8"/>
      <c r="X101" s="8"/>
      <c r="Y101" s="8"/>
    </row>
    <row r="102" spans="1:42" ht="97.5" customHeight="1" x14ac:dyDescent="0.6">
      <c r="A102" s="223" t="s">
        <v>5</v>
      </c>
      <c r="B102" s="224"/>
      <c r="C102" s="223" t="s">
        <v>6</v>
      </c>
      <c r="D102" s="224"/>
      <c r="E102" s="224"/>
      <c r="F102" s="224"/>
      <c r="G102" s="224"/>
      <c r="H102" s="225"/>
      <c r="I102" s="226" t="s">
        <v>7</v>
      </c>
      <c r="J102" s="227"/>
      <c r="K102" s="233" t="s">
        <v>309</v>
      </c>
      <c r="L102" s="236" t="s">
        <v>9</v>
      </c>
      <c r="O102" s="8"/>
      <c r="P102" s="8"/>
      <c r="Q102" s="8"/>
      <c r="R102" s="8"/>
      <c r="S102" s="8"/>
      <c r="T102" s="8"/>
      <c r="U102" s="8"/>
      <c r="V102" s="8"/>
      <c r="W102" s="3"/>
      <c r="X102" s="3"/>
      <c r="Y102" s="3"/>
    </row>
    <row r="103" spans="1:42" ht="56.15" customHeight="1" x14ac:dyDescent="0.6">
      <c r="A103" s="223" t="s">
        <v>10</v>
      </c>
      <c r="B103" s="224"/>
      <c r="C103" s="229" t="s">
        <v>11</v>
      </c>
      <c r="D103" s="242" t="s">
        <v>310</v>
      </c>
      <c r="E103" s="223" t="s">
        <v>313</v>
      </c>
      <c r="F103" s="224"/>
      <c r="G103" s="225"/>
      <c r="H103" s="239" t="s">
        <v>315</v>
      </c>
      <c r="I103" s="240" t="s">
        <v>14</v>
      </c>
      <c r="J103" s="240" t="s">
        <v>15</v>
      </c>
      <c r="K103" s="234"/>
      <c r="L103" s="237"/>
      <c r="O103" s="8"/>
      <c r="P103" s="8"/>
      <c r="Q103" s="8"/>
      <c r="R103" s="8"/>
      <c r="S103" s="8"/>
      <c r="T103" s="8"/>
      <c r="U103" s="8"/>
      <c r="V103" s="8"/>
      <c r="W103" s="3"/>
      <c r="X103" s="3"/>
      <c r="Y103" s="3"/>
    </row>
    <row r="104" spans="1:42" ht="97.5" customHeight="1" x14ac:dyDescent="0.6">
      <c r="A104" s="16" t="s">
        <v>16</v>
      </c>
      <c r="B104" s="16" t="s">
        <v>17</v>
      </c>
      <c r="C104" s="230"/>
      <c r="D104" s="243"/>
      <c r="E104" s="16" t="s">
        <v>311</v>
      </c>
      <c r="F104" s="16" t="s">
        <v>312</v>
      </c>
      <c r="G104" s="16" t="s">
        <v>314</v>
      </c>
      <c r="H104" s="239"/>
      <c r="I104" s="241"/>
      <c r="J104" s="241"/>
      <c r="K104" s="235"/>
      <c r="L104" s="238"/>
      <c r="O104" s="8"/>
      <c r="P104" s="8"/>
      <c r="Q104" s="8"/>
      <c r="R104" s="8"/>
      <c r="S104" s="8"/>
      <c r="T104" s="8"/>
      <c r="U104" s="8"/>
      <c r="V104" s="8"/>
      <c r="W104" s="3"/>
      <c r="X104" s="3"/>
      <c r="Y104" s="3"/>
      <c r="AP104" s="1" t="s">
        <v>18</v>
      </c>
    </row>
    <row r="105" spans="1:42" ht="130" x14ac:dyDescent="0.6">
      <c r="A105" s="30">
        <v>6</v>
      </c>
      <c r="B105" s="32" t="s">
        <v>329</v>
      </c>
      <c r="C105" s="103">
        <v>10000</v>
      </c>
      <c r="D105" s="103">
        <v>30000</v>
      </c>
      <c r="E105" s="103">
        <v>0</v>
      </c>
      <c r="F105" s="111">
        <v>0</v>
      </c>
      <c r="G105" s="111">
        <f>E105+F105</f>
        <v>0</v>
      </c>
      <c r="H105" s="18">
        <f>IFERROR(D105/C105*100-100,0)</f>
        <v>200</v>
      </c>
      <c r="I105" s="9">
        <v>0</v>
      </c>
      <c r="J105" s="10">
        <f>IFERROR(I105/#REF!*100,)</f>
        <v>0</v>
      </c>
      <c r="K105" s="28" t="s">
        <v>19</v>
      </c>
      <c r="L105" s="94" t="s">
        <v>19</v>
      </c>
      <c r="O105" s="8"/>
      <c r="P105" s="2"/>
      <c r="Q105" s="3"/>
      <c r="R105" s="3"/>
      <c r="S105" s="3"/>
      <c r="T105" s="3"/>
      <c r="U105" s="3"/>
      <c r="V105" s="3"/>
      <c r="W105" s="3"/>
      <c r="X105" s="3"/>
      <c r="Y105" s="3"/>
      <c r="AP105" s="1" t="s">
        <v>20</v>
      </c>
    </row>
    <row r="106" spans="1:42" ht="56.15" customHeight="1" x14ac:dyDescent="0.6">
      <c r="A106" s="46">
        <v>1</v>
      </c>
      <c r="B106" s="32" t="s">
        <v>117</v>
      </c>
      <c r="C106" s="107">
        <v>65000</v>
      </c>
      <c r="D106" s="104">
        <v>0</v>
      </c>
      <c r="E106" s="104">
        <v>0</v>
      </c>
      <c r="F106" s="146">
        <v>10000</v>
      </c>
      <c r="G106" s="111">
        <f t="shared" ref="G106:G107" si="13">E106+F106</f>
        <v>10000</v>
      </c>
      <c r="H106" s="18">
        <f t="shared" ref="H106:H107" si="14">IFERROR(D106/C106*100-100,0)</f>
        <v>-100</v>
      </c>
      <c r="I106" s="9">
        <v>0</v>
      </c>
      <c r="J106" s="10">
        <f>IFERROR(I106/#REF!*100,)</f>
        <v>0</v>
      </c>
      <c r="K106" s="28" t="s">
        <v>19</v>
      </c>
      <c r="L106" s="94" t="s">
        <v>19</v>
      </c>
      <c r="P106" s="2"/>
      <c r="Q106" s="3"/>
      <c r="R106" s="3"/>
      <c r="S106" s="3"/>
      <c r="T106" s="3"/>
      <c r="U106" s="3"/>
      <c r="V106" s="3"/>
      <c r="W106" s="3"/>
      <c r="X106" s="3"/>
      <c r="Y106" s="3"/>
    </row>
    <row r="107" spans="1:42" ht="55.9" customHeight="1" x14ac:dyDescent="0.6">
      <c r="A107" s="46">
        <v>1</v>
      </c>
      <c r="B107" s="31" t="s">
        <v>330</v>
      </c>
      <c r="C107" s="103">
        <v>25000</v>
      </c>
      <c r="D107" s="103">
        <v>0</v>
      </c>
      <c r="E107" s="103">
        <v>0</v>
      </c>
      <c r="F107" s="111">
        <v>25000</v>
      </c>
      <c r="G107" s="111">
        <f t="shared" si="13"/>
        <v>25000</v>
      </c>
      <c r="H107" s="18">
        <f t="shared" si="14"/>
        <v>-100</v>
      </c>
      <c r="I107" s="136">
        <v>0</v>
      </c>
      <c r="J107" s="137">
        <f>IFERROR(I107/#REF!*100,)</f>
        <v>0</v>
      </c>
      <c r="K107" s="28" t="s">
        <v>235</v>
      </c>
      <c r="L107" s="94" t="s">
        <v>19</v>
      </c>
    </row>
    <row r="108" spans="1:42" ht="97.5" customHeight="1" x14ac:dyDescent="0.6">
      <c r="A108" s="228" t="s">
        <v>25</v>
      </c>
      <c r="B108" s="228"/>
      <c r="C108" s="91">
        <f>SUM(C105:C107)</f>
        <v>100000</v>
      </c>
      <c r="D108" s="91">
        <f>SUM(D105:D107)</f>
        <v>30000</v>
      </c>
      <c r="E108" s="91">
        <f>SUM(E105:E107)</f>
        <v>0</v>
      </c>
      <c r="F108" s="91">
        <f>SUM(F105:F107)</f>
        <v>35000</v>
      </c>
      <c r="G108" s="91">
        <f>SUM(G105:G107)</f>
        <v>35000</v>
      </c>
      <c r="H108" s="19">
        <f>IFERROR(D108/C108*100-100,0)</f>
        <v>-70</v>
      </c>
      <c r="I108" s="19">
        <f>SUM(I105:I107)</f>
        <v>0</v>
      </c>
      <c r="J108" s="19">
        <f>IFERROR(I108/#REF!*100,)</f>
        <v>0</v>
      </c>
      <c r="K108" s="36">
        <v>0</v>
      </c>
      <c r="L108" s="96">
        <f>SUM(L105:L107)</f>
        <v>0</v>
      </c>
      <c r="P108" s="2"/>
      <c r="Q108" s="3"/>
      <c r="R108" s="3"/>
      <c r="S108" s="3"/>
      <c r="T108" s="3"/>
      <c r="U108" s="3"/>
      <c r="V108" s="3"/>
      <c r="W108" s="3"/>
      <c r="X108" s="3"/>
      <c r="Y108" s="3"/>
    </row>
    <row r="109" spans="1:42" ht="55.9" customHeight="1" x14ac:dyDescent="0.6">
      <c r="A109" s="88"/>
      <c r="B109" s="88"/>
      <c r="C109" s="88"/>
      <c r="D109" s="88"/>
      <c r="E109" s="88"/>
      <c r="F109" s="88"/>
      <c r="G109" s="88"/>
      <c r="H109" s="88"/>
      <c r="I109" s="161"/>
      <c r="J109" s="161"/>
    </row>
    <row r="110" spans="1:42" ht="97.5" customHeight="1" x14ac:dyDescent="0.6">
      <c r="A110" s="220" t="s">
        <v>1</v>
      </c>
      <c r="B110" s="221"/>
      <c r="C110" s="222" t="s">
        <v>140</v>
      </c>
      <c r="D110" s="222"/>
      <c r="E110" s="222"/>
      <c r="F110" s="222"/>
      <c r="G110" s="222"/>
      <c r="H110" s="222"/>
      <c r="I110" s="159"/>
      <c r="J110" s="159"/>
      <c r="P110" s="2"/>
      <c r="Q110" s="3"/>
      <c r="R110" s="3"/>
      <c r="S110" s="3"/>
      <c r="T110" s="3"/>
      <c r="U110" s="3"/>
      <c r="V110" s="3"/>
      <c r="W110" s="3"/>
      <c r="X110" s="3"/>
      <c r="Y110" s="3"/>
    </row>
    <row r="111" spans="1:42" ht="97.5" customHeight="1" x14ac:dyDescent="0.6">
      <c r="A111" s="221" t="s">
        <v>3</v>
      </c>
      <c r="B111" s="221"/>
      <c r="C111" s="222" t="s">
        <v>48</v>
      </c>
      <c r="D111" s="222"/>
      <c r="E111" s="222"/>
      <c r="F111" s="222"/>
      <c r="G111" s="222"/>
      <c r="H111" s="222"/>
      <c r="I111" s="160"/>
      <c r="J111" s="160"/>
      <c r="X111" s="3"/>
      <c r="Y111" s="3"/>
    </row>
    <row r="112" spans="1:42" s="6" customFormat="1" ht="49.5" customHeight="1" x14ac:dyDescent="0.6">
      <c r="A112" s="20"/>
      <c r="B112" s="4"/>
      <c r="C112" s="106"/>
      <c r="D112" s="106"/>
      <c r="E112" s="106"/>
      <c r="F112" s="106"/>
      <c r="G112" s="106"/>
      <c r="H112" s="5"/>
      <c r="I112" s="155"/>
      <c r="J112" s="155"/>
      <c r="K112" s="27"/>
      <c r="L112" s="95"/>
      <c r="P112" s="7"/>
      <c r="Q112" s="8"/>
      <c r="R112" s="8"/>
      <c r="S112" s="8"/>
      <c r="T112" s="8"/>
      <c r="U112" s="8"/>
      <c r="V112" s="8"/>
      <c r="W112" s="8"/>
      <c r="X112" s="8"/>
      <c r="Y112" s="8"/>
    </row>
    <row r="113" spans="1:42" ht="97.5" customHeight="1" x14ac:dyDescent="0.6">
      <c r="A113" s="223" t="s">
        <v>5</v>
      </c>
      <c r="B113" s="224"/>
      <c r="C113" s="223" t="s">
        <v>6</v>
      </c>
      <c r="D113" s="224"/>
      <c r="E113" s="224"/>
      <c r="F113" s="224"/>
      <c r="G113" s="224"/>
      <c r="H113" s="225"/>
      <c r="I113" s="226" t="s">
        <v>7</v>
      </c>
      <c r="J113" s="227"/>
      <c r="K113" s="233" t="s">
        <v>309</v>
      </c>
      <c r="L113" s="236" t="s">
        <v>9</v>
      </c>
      <c r="O113" s="8"/>
      <c r="P113" s="8"/>
      <c r="Q113" s="8"/>
      <c r="R113" s="8"/>
      <c r="S113" s="8"/>
      <c r="T113" s="8"/>
      <c r="U113" s="8"/>
      <c r="V113" s="8"/>
      <c r="W113" s="3"/>
      <c r="X113" s="3"/>
      <c r="Y113" s="3"/>
    </row>
    <row r="114" spans="1:42" ht="56.15" customHeight="1" x14ac:dyDescent="0.6">
      <c r="A114" s="223" t="s">
        <v>10</v>
      </c>
      <c r="B114" s="224"/>
      <c r="C114" s="229" t="s">
        <v>11</v>
      </c>
      <c r="D114" s="242" t="s">
        <v>310</v>
      </c>
      <c r="E114" s="223" t="s">
        <v>313</v>
      </c>
      <c r="F114" s="224"/>
      <c r="G114" s="225"/>
      <c r="H114" s="239" t="s">
        <v>315</v>
      </c>
      <c r="I114" s="240" t="s">
        <v>14</v>
      </c>
      <c r="J114" s="240" t="s">
        <v>15</v>
      </c>
      <c r="K114" s="234"/>
      <c r="L114" s="237"/>
      <c r="O114" s="8"/>
      <c r="P114" s="8"/>
      <c r="Q114" s="8"/>
      <c r="R114" s="8"/>
      <c r="S114" s="8"/>
      <c r="T114" s="8"/>
      <c r="U114" s="8"/>
      <c r="V114" s="8"/>
      <c r="W114" s="3"/>
      <c r="X114" s="3"/>
      <c r="Y114" s="3"/>
    </row>
    <row r="115" spans="1:42" ht="97.5" customHeight="1" x14ac:dyDescent="0.6">
      <c r="A115" s="16" t="s">
        <v>16</v>
      </c>
      <c r="B115" s="16" t="s">
        <v>17</v>
      </c>
      <c r="C115" s="230"/>
      <c r="D115" s="243"/>
      <c r="E115" s="16" t="s">
        <v>311</v>
      </c>
      <c r="F115" s="16" t="s">
        <v>312</v>
      </c>
      <c r="G115" s="16" t="s">
        <v>314</v>
      </c>
      <c r="H115" s="239"/>
      <c r="I115" s="241"/>
      <c r="J115" s="241"/>
      <c r="K115" s="235"/>
      <c r="L115" s="238"/>
      <c r="O115" s="8"/>
      <c r="P115" s="8"/>
      <c r="Q115" s="8"/>
      <c r="R115" s="8"/>
      <c r="S115" s="8"/>
      <c r="T115" s="8"/>
      <c r="U115" s="8"/>
      <c r="V115" s="8"/>
      <c r="W115" s="3"/>
      <c r="X115" s="3"/>
      <c r="Y115" s="3"/>
      <c r="AP115" s="1" t="s">
        <v>18</v>
      </c>
    </row>
    <row r="116" spans="1:42" ht="52" x14ac:dyDescent="0.6">
      <c r="A116" s="29">
        <v>1</v>
      </c>
      <c r="B116" s="25" t="s">
        <v>141</v>
      </c>
      <c r="C116" s="103">
        <v>0</v>
      </c>
      <c r="D116" s="104">
        <v>100000</v>
      </c>
      <c r="E116" s="104">
        <v>0</v>
      </c>
      <c r="F116" s="146">
        <v>100000</v>
      </c>
      <c r="G116" s="146">
        <f>E116+F116</f>
        <v>100000</v>
      </c>
      <c r="H116" s="18">
        <f>IFERROR(D116/C116*100-100,0)</f>
        <v>0</v>
      </c>
      <c r="I116" s="9">
        <v>0</v>
      </c>
      <c r="J116" s="10">
        <f>IFERROR(I116/#REF!*100,)</f>
        <v>0</v>
      </c>
      <c r="K116" s="28"/>
      <c r="L116" s="94">
        <f>D116</f>
        <v>100000</v>
      </c>
    </row>
    <row r="117" spans="1:42" s="12" customFormat="1" ht="56.15" customHeight="1" x14ac:dyDescent="0.35">
      <c r="A117" s="228" t="s">
        <v>25</v>
      </c>
      <c r="B117" s="228"/>
      <c r="C117" s="91">
        <f>SUM(C116:C116)</f>
        <v>0</v>
      </c>
      <c r="D117" s="91">
        <f>SUM(D116:D116)</f>
        <v>100000</v>
      </c>
      <c r="E117" s="91">
        <f>SUM(E116)</f>
        <v>0</v>
      </c>
      <c r="F117" s="91">
        <f>SUM(F116)</f>
        <v>100000</v>
      </c>
      <c r="G117" s="91">
        <f>SUM(G116)</f>
        <v>100000</v>
      </c>
      <c r="H117" s="19">
        <f>IFERROR(D117/C117*100-100,0)</f>
        <v>0</v>
      </c>
      <c r="I117" s="19">
        <f>SUM(I116:I116)</f>
        <v>0</v>
      </c>
      <c r="J117" s="19">
        <f>IFERROR(I117/#REF!*100,)</f>
        <v>0</v>
      </c>
      <c r="K117" s="36"/>
      <c r="L117" s="96">
        <f>SUM(L116:L116)</f>
        <v>100000</v>
      </c>
      <c r="M117" s="55"/>
    </row>
    <row r="118" spans="1:42" s="12" customFormat="1" ht="55.9" customHeight="1" x14ac:dyDescent="0.6">
      <c r="A118" s="88"/>
      <c r="B118" s="88"/>
      <c r="C118" s="112"/>
      <c r="D118" s="112"/>
      <c r="E118" s="112"/>
      <c r="F118" s="112"/>
      <c r="G118" s="112"/>
      <c r="H118" s="88"/>
      <c r="I118" s="161"/>
      <c r="J118" s="161"/>
      <c r="K118" s="26"/>
      <c r="L118" s="93"/>
    </row>
    <row r="119" spans="1:42" ht="97.5" customHeight="1" x14ac:dyDescent="0.6">
      <c r="A119" s="220" t="s">
        <v>1</v>
      </c>
      <c r="B119" s="221"/>
      <c r="C119" s="222" t="s">
        <v>46</v>
      </c>
      <c r="D119" s="222"/>
      <c r="E119" s="222"/>
      <c r="F119" s="222"/>
      <c r="G119" s="222"/>
      <c r="H119" s="222"/>
      <c r="I119" s="159"/>
      <c r="J119" s="159"/>
      <c r="P119" s="2"/>
      <c r="Q119" s="3"/>
      <c r="R119" s="3"/>
      <c r="S119" s="3"/>
      <c r="T119" s="3"/>
      <c r="U119" s="3"/>
      <c r="V119" s="3"/>
      <c r="W119" s="3"/>
      <c r="X119" s="3"/>
      <c r="Y119" s="3"/>
    </row>
    <row r="120" spans="1:42" ht="97.5" customHeight="1" x14ac:dyDescent="0.6">
      <c r="A120" s="221" t="s">
        <v>3</v>
      </c>
      <c r="B120" s="221"/>
      <c r="C120" s="222" t="s">
        <v>35</v>
      </c>
      <c r="D120" s="222"/>
      <c r="E120" s="222"/>
      <c r="F120" s="222"/>
      <c r="G120" s="222"/>
      <c r="H120" s="222"/>
      <c r="I120" s="160"/>
      <c r="J120" s="160"/>
      <c r="X120" s="3"/>
      <c r="Y120" s="3"/>
    </row>
    <row r="121" spans="1:42" s="6" customFormat="1" ht="49.5" customHeight="1" x14ac:dyDescent="0.6">
      <c r="A121" s="20"/>
      <c r="B121" s="4"/>
      <c r="C121" s="106"/>
      <c r="D121" s="106"/>
      <c r="E121" s="106"/>
      <c r="F121" s="106"/>
      <c r="G121" s="106"/>
      <c r="H121" s="5"/>
      <c r="I121" s="155"/>
      <c r="J121" s="155"/>
      <c r="K121" s="27"/>
      <c r="L121" s="95"/>
      <c r="P121" s="7"/>
      <c r="Q121" s="8"/>
      <c r="R121" s="8"/>
      <c r="S121" s="8"/>
      <c r="T121" s="8"/>
      <c r="U121" s="8"/>
      <c r="V121" s="8"/>
      <c r="W121" s="8"/>
      <c r="X121" s="8"/>
      <c r="Y121" s="8"/>
    </row>
    <row r="122" spans="1:42" ht="97.5" customHeight="1" x14ac:dyDescent="0.6">
      <c r="A122" s="223" t="s">
        <v>5</v>
      </c>
      <c r="B122" s="224"/>
      <c r="C122" s="223" t="s">
        <v>6</v>
      </c>
      <c r="D122" s="224"/>
      <c r="E122" s="224"/>
      <c r="F122" s="224"/>
      <c r="G122" s="224"/>
      <c r="H122" s="225"/>
      <c r="I122" s="226" t="s">
        <v>7</v>
      </c>
      <c r="J122" s="227"/>
      <c r="K122" s="233" t="s">
        <v>309</v>
      </c>
      <c r="L122" s="236" t="s">
        <v>9</v>
      </c>
      <c r="O122" s="8"/>
      <c r="P122" s="8"/>
      <c r="Q122" s="8"/>
      <c r="R122" s="8"/>
      <c r="S122" s="8"/>
      <c r="T122" s="8"/>
      <c r="U122" s="8"/>
      <c r="V122" s="8"/>
      <c r="W122" s="3"/>
      <c r="X122" s="3"/>
      <c r="Y122" s="3"/>
    </row>
    <row r="123" spans="1:42" ht="56.15" customHeight="1" x14ac:dyDescent="0.6">
      <c r="A123" s="223" t="s">
        <v>10</v>
      </c>
      <c r="B123" s="224"/>
      <c r="C123" s="229" t="s">
        <v>11</v>
      </c>
      <c r="D123" s="242" t="s">
        <v>310</v>
      </c>
      <c r="E123" s="223" t="s">
        <v>313</v>
      </c>
      <c r="F123" s="224"/>
      <c r="G123" s="225"/>
      <c r="H123" s="239" t="s">
        <v>315</v>
      </c>
      <c r="I123" s="240" t="s">
        <v>14</v>
      </c>
      <c r="J123" s="240" t="s">
        <v>15</v>
      </c>
      <c r="K123" s="234"/>
      <c r="L123" s="237"/>
      <c r="O123" s="8"/>
      <c r="P123" s="8"/>
      <c r="Q123" s="8"/>
      <c r="R123" s="8"/>
      <c r="S123" s="8"/>
      <c r="T123" s="8"/>
      <c r="U123" s="8"/>
      <c r="V123" s="8"/>
      <c r="W123" s="3"/>
      <c r="X123" s="3"/>
      <c r="Y123" s="3"/>
    </row>
    <row r="124" spans="1:42" ht="97.5" customHeight="1" x14ac:dyDescent="0.6">
      <c r="A124" s="16" t="s">
        <v>16</v>
      </c>
      <c r="B124" s="16" t="s">
        <v>17</v>
      </c>
      <c r="C124" s="230"/>
      <c r="D124" s="243"/>
      <c r="E124" s="16" t="s">
        <v>311</v>
      </c>
      <c r="F124" s="16" t="s">
        <v>312</v>
      </c>
      <c r="G124" s="16" t="s">
        <v>314</v>
      </c>
      <c r="H124" s="239"/>
      <c r="I124" s="241"/>
      <c r="J124" s="241"/>
      <c r="K124" s="235"/>
      <c r="L124" s="238"/>
      <c r="O124" s="8"/>
      <c r="P124" s="8"/>
      <c r="Q124" s="8"/>
      <c r="R124" s="8"/>
      <c r="S124" s="8"/>
      <c r="T124" s="8"/>
      <c r="U124" s="8"/>
      <c r="V124" s="8"/>
      <c r="W124" s="3"/>
      <c r="X124" s="3"/>
      <c r="Y124" s="3"/>
      <c r="AP124" s="1" t="s">
        <v>18</v>
      </c>
    </row>
    <row r="125" spans="1:42" s="129" customFormat="1" ht="130" x14ac:dyDescent="0.6">
      <c r="A125" s="38">
        <v>1</v>
      </c>
      <c r="B125" s="32" t="s">
        <v>270</v>
      </c>
      <c r="C125" s="123"/>
      <c r="D125" s="111">
        <v>0</v>
      </c>
      <c r="E125" s="111">
        <v>0</v>
      </c>
      <c r="F125" s="111">
        <v>0</v>
      </c>
      <c r="G125" s="111">
        <f>E125+F125</f>
        <v>0</v>
      </c>
      <c r="H125" s="133">
        <f t="shared" ref="H125:H130" si="15">IFERROR(D125/C125*100-100,0)</f>
        <v>0</v>
      </c>
      <c r="I125" s="134">
        <v>0</v>
      </c>
      <c r="J125" s="128">
        <v>0</v>
      </c>
      <c r="K125" s="63" t="s">
        <v>19</v>
      </c>
      <c r="L125" s="100" t="s">
        <v>19</v>
      </c>
      <c r="O125" s="130"/>
      <c r="P125" s="131"/>
      <c r="Q125" s="132"/>
      <c r="R125" s="132"/>
      <c r="S125" s="132"/>
      <c r="T125" s="132"/>
      <c r="U125" s="132"/>
      <c r="V125" s="132"/>
      <c r="W125" s="132"/>
      <c r="X125" s="132"/>
      <c r="Y125" s="132"/>
    </row>
    <row r="126" spans="1:42" s="129" customFormat="1" x14ac:dyDescent="0.6">
      <c r="A126" s="38">
        <v>1</v>
      </c>
      <c r="B126" s="32" t="s">
        <v>268</v>
      </c>
      <c r="C126" s="123"/>
      <c r="D126" s="111">
        <v>0</v>
      </c>
      <c r="E126" s="111">
        <v>0</v>
      </c>
      <c r="F126" s="111">
        <v>10000</v>
      </c>
      <c r="G126" s="111">
        <f t="shared" ref="G126:G130" si="16">E126+F126</f>
        <v>10000</v>
      </c>
      <c r="H126" s="133">
        <f t="shared" si="15"/>
        <v>0</v>
      </c>
      <c r="I126" s="134">
        <v>0</v>
      </c>
      <c r="J126" s="128">
        <v>0</v>
      </c>
      <c r="K126" s="63" t="s">
        <v>19</v>
      </c>
      <c r="L126" s="100" t="s">
        <v>19</v>
      </c>
      <c r="O126" s="130"/>
      <c r="P126" s="131"/>
      <c r="Q126" s="132"/>
      <c r="R126" s="132"/>
      <c r="S126" s="132"/>
      <c r="T126" s="132"/>
      <c r="U126" s="132"/>
      <c r="V126" s="132"/>
      <c r="W126" s="132"/>
      <c r="X126" s="132"/>
      <c r="Y126" s="132"/>
    </row>
    <row r="127" spans="1:42" s="129" customFormat="1" x14ac:dyDescent="0.6">
      <c r="A127" s="38">
        <v>1</v>
      </c>
      <c r="B127" s="32" t="s">
        <v>269</v>
      </c>
      <c r="C127" s="123"/>
      <c r="D127" s="111">
        <v>0</v>
      </c>
      <c r="E127" s="111">
        <v>0</v>
      </c>
      <c r="F127" s="111">
        <f>9500+500+5000</f>
        <v>15000</v>
      </c>
      <c r="G127" s="111">
        <f t="shared" si="16"/>
        <v>15000</v>
      </c>
      <c r="H127" s="133">
        <f t="shared" si="15"/>
        <v>0</v>
      </c>
      <c r="I127" s="134">
        <v>0</v>
      </c>
      <c r="J127" s="128">
        <v>0</v>
      </c>
      <c r="K127" s="63" t="s">
        <v>19</v>
      </c>
      <c r="L127" s="100" t="s">
        <v>19</v>
      </c>
      <c r="O127" s="130"/>
      <c r="P127" s="131"/>
      <c r="Q127" s="132"/>
      <c r="R127" s="132"/>
      <c r="S127" s="132"/>
      <c r="T127" s="132"/>
      <c r="U127" s="132"/>
      <c r="V127" s="132"/>
      <c r="W127" s="132"/>
      <c r="X127" s="132"/>
      <c r="Y127" s="132"/>
    </row>
    <row r="128" spans="1:42" s="129" customFormat="1" x14ac:dyDescent="0.6">
      <c r="A128" s="38">
        <v>1</v>
      </c>
      <c r="B128" s="32" t="s">
        <v>331</v>
      </c>
      <c r="C128" s="123"/>
      <c r="D128" s="111">
        <v>0</v>
      </c>
      <c r="E128" s="111">
        <v>0</v>
      </c>
      <c r="F128" s="111">
        <v>5000</v>
      </c>
      <c r="G128" s="111">
        <f t="shared" si="16"/>
        <v>5000</v>
      </c>
      <c r="H128" s="133">
        <f t="shared" si="15"/>
        <v>0</v>
      </c>
      <c r="I128" s="134">
        <v>0</v>
      </c>
      <c r="J128" s="128">
        <v>0</v>
      </c>
      <c r="K128" s="63" t="s">
        <v>19</v>
      </c>
      <c r="L128" s="100" t="s">
        <v>19</v>
      </c>
      <c r="O128" s="130"/>
      <c r="P128" s="131"/>
      <c r="Q128" s="132"/>
      <c r="R128" s="132"/>
      <c r="S128" s="132"/>
      <c r="T128" s="132"/>
      <c r="U128" s="132"/>
      <c r="V128" s="132"/>
      <c r="W128" s="132"/>
      <c r="X128" s="132"/>
      <c r="Y128" s="132"/>
    </row>
    <row r="129" spans="1:42" s="129" customFormat="1" ht="124.5" customHeight="1" x14ac:dyDescent="0.6">
      <c r="A129" s="38">
        <v>1</v>
      </c>
      <c r="B129" s="32" t="s">
        <v>271</v>
      </c>
      <c r="C129" s="123"/>
      <c r="D129" s="111">
        <v>0</v>
      </c>
      <c r="E129" s="111">
        <v>0</v>
      </c>
      <c r="F129" s="111">
        <f>2000-2000</f>
        <v>0</v>
      </c>
      <c r="G129" s="111">
        <f t="shared" si="16"/>
        <v>0</v>
      </c>
      <c r="H129" s="133">
        <f t="shared" si="15"/>
        <v>0</v>
      </c>
      <c r="I129" s="134">
        <v>0</v>
      </c>
      <c r="J129" s="128">
        <v>0</v>
      </c>
      <c r="K129" s="63" t="s">
        <v>209</v>
      </c>
      <c r="L129" s="100" t="s">
        <v>19</v>
      </c>
      <c r="O129" s="130"/>
      <c r="P129" s="131"/>
      <c r="Q129" s="132"/>
      <c r="R129" s="132"/>
      <c r="S129" s="132"/>
      <c r="T129" s="132"/>
      <c r="U129" s="132"/>
      <c r="V129" s="132"/>
      <c r="W129" s="132"/>
      <c r="X129" s="132"/>
      <c r="Y129" s="132"/>
    </row>
    <row r="130" spans="1:42" s="129" customFormat="1" ht="245.15" customHeight="1" x14ac:dyDescent="0.6">
      <c r="A130" s="38">
        <v>1</v>
      </c>
      <c r="B130" s="32" t="s">
        <v>272</v>
      </c>
      <c r="C130" s="123"/>
      <c r="D130" s="111">
        <v>0</v>
      </c>
      <c r="E130" s="111">
        <v>0</v>
      </c>
      <c r="F130" s="111">
        <f>7500-7500</f>
        <v>0</v>
      </c>
      <c r="G130" s="111">
        <f t="shared" si="16"/>
        <v>0</v>
      </c>
      <c r="H130" s="133">
        <f t="shared" si="15"/>
        <v>0</v>
      </c>
      <c r="I130" s="134">
        <v>0</v>
      </c>
      <c r="J130" s="128">
        <v>0</v>
      </c>
      <c r="K130" s="63" t="s">
        <v>210</v>
      </c>
      <c r="L130" s="100" t="s">
        <v>19</v>
      </c>
      <c r="O130" s="130"/>
      <c r="P130" s="131"/>
      <c r="Q130" s="132"/>
      <c r="R130" s="132"/>
      <c r="S130" s="132"/>
      <c r="T130" s="132"/>
      <c r="U130" s="132"/>
      <c r="V130" s="132"/>
      <c r="W130" s="132"/>
      <c r="X130" s="132"/>
      <c r="Y130" s="132"/>
    </row>
    <row r="131" spans="1:42" s="12" customFormat="1" ht="56.15" customHeight="1" x14ac:dyDescent="0.35">
      <c r="A131" s="228" t="s">
        <v>25</v>
      </c>
      <c r="B131" s="228"/>
      <c r="C131" s="91" t="e">
        <f>SUM(#REF!)</f>
        <v>#REF!</v>
      </c>
      <c r="D131" s="91">
        <f>SUM(D125:D130)</f>
        <v>0</v>
      </c>
      <c r="E131" s="91">
        <f>SUM(E125:E130)</f>
        <v>0</v>
      </c>
      <c r="F131" s="91">
        <f>SUM(F125:F130)</f>
        <v>30000</v>
      </c>
      <c r="G131" s="91">
        <f>SUM(G125:G130)</f>
        <v>30000</v>
      </c>
      <c r="H131" s="19">
        <f>IFERROR(D131/C131*100-100,0)</f>
        <v>0</v>
      </c>
      <c r="I131" s="19">
        <f>SUM(I125:I130)</f>
        <v>0</v>
      </c>
      <c r="J131" s="19">
        <f>IFERROR(I131/#REF!*100,)</f>
        <v>0</v>
      </c>
      <c r="K131" s="36"/>
      <c r="L131" s="96">
        <v>0</v>
      </c>
      <c r="M131" s="55"/>
    </row>
    <row r="132" spans="1:42" ht="55.9" customHeight="1" x14ac:dyDescent="0.6">
      <c r="A132" s="244"/>
      <c r="B132" s="244"/>
      <c r="C132" s="244"/>
      <c r="D132" s="244"/>
      <c r="E132" s="244"/>
      <c r="F132" s="244"/>
      <c r="G132" s="244"/>
      <c r="H132" s="244"/>
      <c r="I132" s="245"/>
      <c r="J132" s="245"/>
    </row>
    <row r="133" spans="1:42" ht="97.5" customHeight="1" x14ac:dyDescent="0.6">
      <c r="A133" s="220" t="s">
        <v>1</v>
      </c>
      <c r="B133" s="221"/>
      <c r="C133" s="222" t="s">
        <v>36</v>
      </c>
      <c r="D133" s="222"/>
      <c r="E133" s="222"/>
      <c r="F133" s="222"/>
      <c r="G133" s="222"/>
      <c r="H133" s="222"/>
      <c r="I133" s="159"/>
      <c r="J133" s="159"/>
      <c r="P133" s="2"/>
      <c r="Q133" s="3"/>
      <c r="R133" s="3"/>
      <c r="S133" s="3"/>
      <c r="T133" s="3"/>
      <c r="U133" s="3"/>
      <c r="V133" s="3"/>
      <c r="W133" s="3"/>
      <c r="X133" s="3"/>
      <c r="Y133" s="3"/>
    </row>
    <row r="134" spans="1:42" ht="97.5" customHeight="1" x14ac:dyDescent="0.6">
      <c r="A134" s="221" t="s">
        <v>3</v>
      </c>
      <c r="B134" s="221"/>
      <c r="C134" s="222" t="s">
        <v>37</v>
      </c>
      <c r="D134" s="222"/>
      <c r="E134" s="222"/>
      <c r="F134" s="222"/>
      <c r="G134" s="222"/>
      <c r="H134" s="222"/>
      <c r="I134" s="160"/>
      <c r="J134" s="160"/>
      <c r="X134" s="3"/>
      <c r="Y134" s="3"/>
    </row>
    <row r="135" spans="1:42" s="6" customFormat="1" ht="49.5" customHeight="1" x14ac:dyDescent="0.6">
      <c r="A135" s="20"/>
      <c r="B135" s="4"/>
      <c r="C135" s="106"/>
      <c r="D135" s="106"/>
      <c r="E135" s="106"/>
      <c r="F135" s="106"/>
      <c r="G135" s="106"/>
      <c r="H135" s="5"/>
      <c r="I135" s="155"/>
      <c r="J135" s="155"/>
      <c r="K135" s="27"/>
      <c r="L135" s="95"/>
      <c r="P135" s="7"/>
      <c r="Q135" s="8"/>
      <c r="R135" s="8"/>
      <c r="S135" s="8"/>
      <c r="T135" s="8"/>
      <c r="U135" s="8"/>
      <c r="V135" s="8"/>
      <c r="W135" s="8"/>
      <c r="X135" s="8"/>
      <c r="Y135" s="8"/>
    </row>
    <row r="136" spans="1:42" ht="97.5" customHeight="1" x14ac:dyDescent="0.6">
      <c r="A136" s="223" t="s">
        <v>5</v>
      </c>
      <c r="B136" s="225"/>
      <c r="C136" s="223" t="s">
        <v>6</v>
      </c>
      <c r="D136" s="224"/>
      <c r="E136" s="224"/>
      <c r="F136" s="224"/>
      <c r="G136" s="224"/>
      <c r="H136" s="225"/>
      <c r="I136" s="226" t="s">
        <v>7</v>
      </c>
      <c r="J136" s="227"/>
      <c r="K136" s="233" t="s">
        <v>309</v>
      </c>
      <c r="L136" s="259" t="s">
        <v>9</v>
      </c>
      <c r="O136" s="8"/>
      <c r="P136" s="8"/>
      <c r="Q136" s="8"/>
      <c r="R136" s="8"/>
      <c r="S136" s="8"/>
      <c r="T136" s="8"/>
      <c r="U136" s="8"/>
      <c r="V136" s="8"/>
      <c r="W136" s="3"/>
      <c r="X136" s="3"/>
      <c r="Y136" s="3"/>
    </row>
    <row r="137" spans="1:42" ht="56.15" customHeight="1" x14ac:dyDescent="0.6">
      <c r="A137" s="223" t="s">
        <v>10</v>
      </c>
      <c r="B137" s="225"/>
      <c r="C137" s="254" t="s">
        <v>11</v>
      </c>
      <c r="D137" s="242" t="s">
        <v>310</v>
      </c>
      <c r="E137" s="223" t="s">
        <v>313</v>
      </c>
      <c r="F137" s="224"/>
      <c r="G137" s="225"/>
      <c r="H137" s="239" t="s">
        <v>315</v>
      </c>
      <c r="I137" s="240" t="s">
        <v>14</v>
      </c>
      <c r="J137" s="240" t="s">
        <v>15</v>
      </c>
      <c r="K137" s="234"/>
      <c r="L137" s="260"/>
      <c r="O137" s="8"/>
      <c r="P137" s="8"/>
      <c r="Q137" s="8"/>
      <c r="R137" s="8"/>
      <c r="S137" s="8"/>
      <c r="T137" s="8"/>
      <c r="U137" s="8"/>
      <c r="V137" s="8"/>
      <c r="W137" s="3"/>
      <c r="X137" s="3"/>
      <c r="Y137" s="3"/>
    </row>
    <row r="138" spans="1:42" ht="97.5" customHeight="1" x14ac:dyDescent="0.6">
      <c r="A138" s="16" t="s">
        <v>16</v>
      </c>
      <c r="B138" s="16" t="s">
        <v>17</v>
      </c>
      <c r="C138" s="255"/>
      <c r="D138" s="243"/>
      <c r="E138" s="16" t="s">
        <v>311</v>
      </c>
      <c r="F138" s="16" t="s">
        <v>312</v>
      </c>
      <c r="G138" s="16" t="s">
        <v>314</v>
      </c>
      <c r="H138" s="239"/>
      <c r="I138" s="241"/>
      <c r="J138" s="241"/>
      <c r="K138" s="235"/>
      <c r="L138" s="261"/>
      <c r="O138" s="8"/>
      <c r="P138" s="8"/>
      <c r="Q138" s="8"/>
      <c r="R138" s="8"/>
      <c r="S138" s="8"/>
      <c r="T138" s="8"/>
      <c r="U138" s="8"/>
      <c r="V138" s="8"/>
      <c r="W138" s="3"/>
      <c r="X138" s="3"/>
      <c r="Y138" s="3"/>
      <c r="AP138" s="1" t="s">
        <v>18</v>
      </c>
    </row>
    <row r="139" spans="1:42" ht="78" customHeight="1" x14ac:dyDescent="0.6">
      <c r="A139" s="34">
        <v>10</v>
      </c>
      <c r="B139" s="24" t="s">
        <v>149</v>
      </c>
      <c r="C139" s="107">
        <v>18472.29</v>
      </c>
      <c r="D139" s="104">
        <v>30094.43</v>
      </c>
      <c r="E139" s="104">
        <v>0</v>
      </c>
      <c r="F139" s="146">
        <v>0</v>
      </c>
      <c r="G139" s="146">
        <f>E139+F139</f>
        <v>0</v>
      </c>
      <c r="H139" s="18">
        <f>IFERROR(D139/C139*100-100,0)</f>
        <v>62.916617268351672</v>
      </c>
      <c r="I139" s="9">
        <v>0</v>
      </c>
      <c r="J139" s="10">
        <f>IFERROR(I139/#REF!*100,)</f>
        <v>0</v>
      </c>
      <c r="K139" s="28" t="s">
        <v>19</v>
      </c>
      <c r="L139" s="94" t="s">
        <v>19</v>
      </c>
      <c r="O139" s="8"/>
      <c r="P139" s="2"/>
      <c r="Q139" s="3"/>
      <c r="R139" s="3"/>
      <c r="S139" s="3"/>
      <c r="T139" s="3"/>
      <c r="U139" s="3"/>
      <c r="V139" s="3"/>
      <c r="W139" s="3"/>
      <c r="X139" s="3"/>
      <c r="Y139" s="3"/>
      <c r="AP139" s="1" t="s">
        <v>20</v>
      </c>
    </row>
    <row r="140" spans="1:42" ht="56.15" customHeight="1" x14ac:dyDescent="0.6">
      <c r="A140" s="34">
        <v>3</v>
      </c>
      <c r="B140" s="25" t="s">
        <v>279</v>
      </c>
      <c r="C140" s="107">
        <v>0</v>
      </c>
      <c r="D140" s="104">
        <v>0</v>
      </c>
      <c r="E140" s="104">
        <v>0</v>
      </c>
      <c r="F140" s="146">
        <f>(17184.19*3)-2000</f>
        <v>49552.569999999992</v>
      </c>
      <c r="G140" s="146">
        <f t="shared" ref="G140:G146" si="17">E140+F140</f>
        <v>49552.569999999992</v>
      </c>
      <c r="H140" s="18">
        <f>IFERROR(D140/C140*100-100,0)</f>
        <v>0</v>
      </c>
      <c r="I140" s="9">
        <v>0</v>
      </c>
      <c r="J140" s="10">
        <f>IFERROR(I140/#REF!*100,)</f>
        <v>0</v>
      </c>
      <c r="K140" s="28" t="s">
        <v>19</v>
      </c>
      <c r="L140" s="94" t="s">
        <v>19</v>
      </c>
      <c r="P140" s="2"/>
      <c r="Q140" s="3"/>
      <c r="R140" s="3"/>
      <c r="S140" s="3"/>
      <c r="T140" s="3"/>
      <c r="U140" s="3"/>
      <c r="V140" s="3"/>
      <c r="W140" s="3"/>
      <c r="X140" s="3"/>
      <c r="Y140" s="3"/>
      <c r="AP140" s="1" t="s">
        <v>22</v>
      </c>
    </row>
    <row r="141" spans="1:42" ht="56.15" customHeight="1" x14ac:dyDescent="0.6">
      <c r="A141" s="34">
        <v>7</v>
      </c>
      <c r="B141" s="25" t="s">
        <v>150</v>
      </c>
      <c r="C141" s="107">
        <v>0</v>
      </c>
      <c r="D141" s="104">
        <v>0</v>
      </c>
      <c r="E141" s="104">
        <v>2839</v>
      </c>
      <c r="F141" s="146">
        <f>1169*5</f>
        <v>5845</v>
      </c>
      <c r="G141" s="146">
        <f t="shared" si="17"/>
        <v>8684</v>
      </c>
      <c r="H141" s="18">
        <f>IFERROR(D140/C140*100-100,0)</f>
        <v>0</v>
      </c>
      <c r="I141" s="9">
        <v>0</v>
      </c>
      <c r="J141" s="10">
        <v>0</v>
      </c>
      <c r="K141" s="28" t="s">
        <v>19</v>
      </c>
      <c r="L141" s="94" t="s">
        <v>19</v>
      </c>
      <c r="P141" s="2"/>
      <c r="Q141" s="3"/>
      <c r="R141" s="3"/>
      <c r="S141" s="3"/>
      <c r="T141" s="3"/>
      <c r="U141" s="3"/>
      <c r="V141" s="3"/>
      <c r="W141" s="3"/>
      <c r="X141" s="3"/>
      <c r="Y141" s="3"/>
    </row>
    <row r="142" spans="1:42" ht="56.15" customHeight="1" x14ac:dyDescent="0.6">
      <c r="A142" s="34">
        <v>4</v>
      </c>
      <c r="B142" s="31" t="s">
        <v>28</v>
      </c>
      <c r="C142" s="103">
        <v>25000</v>
      </c>
      <c r="D142" s="104">
        <v>0</v>
      </c>
      <c r="E142" s="104">
        <v>0</v>
      </c>
      <c r="F142" s="146">
        <v>10000</v>
      </c>
      <c r="G142" s="146">
        <f t="shared" si="17"/>
        <v>10000</v>
      </c>
      <c r="H142" s="18">
        <f t="shared" ref="H142:H146" si="18">IFERROR(D142/C142*100-100,0)</f>
        <v>-100</v>
      </c>
      <c r="I142" s="9">
        <v>0</v>
      </c>
      <c r="J142" s="10">
        <v>0</v>
      </c>
      <c r="K142" s="28" t="s">
        <v>19</v>
      </c>
      <c r="L142" s="94" t="s">
        <v>19</v>
      </c>
      <c r="M142" s="50"/>
      <c r="P142" s="2"/>
      <c r="Q142" s="3"/>
      <c r="R142" s="3"/>
      <c r="S142" s="3"/>
      <c r="T142" s="3"/>
      <c r="U142" s="3"/>
      <c r="V142" s="3"/>
      <c r="W142" s="3"/>
      <c r="X142" s="3"/>
      <c r="Y142" s="3"/>
    </row>
    <row r="143" spans="1:42" ht="126.65" customHeight="1" x14ac:dyDescent="0.6">
      <c r="A143" s="35">
        <v>1</v>
      </c>
      <c r="B143" s="32" t="s">
        <v>197</v>
      </c>
      <c r="C143" s="107"/>
      <c r="D143" s="104">
        <v>0</v>
      </c>
      <c r="E143" s="104">
        <v>0</v>
      </c>
      <c r="F143" s="111">
        <f>1666.66666666667-666.67</f>
        <v>999.99666666666997</v>
      </c>
      <c r="G143" s="146">
        <f t="shared" si="17"/>
        <v>999.99666666666997</v>
      </c>
      <c r="H143" s="18">
        <f t="shared" si="18"/>
        <v>0</v>
      </c>
      <c r="I143" s="9">
        <v>0</v>
      </c>
      <c r="J143" s="10">
        <v>0</v>
      </c>
      <c r="K143" s="28" t="s">
        <v>193</v>
      </c>
      <c r="L143" s="94" t="s">
        <v>19</v>
      </c>
    </row>
    <row r="144" spans="1:42" ht="176.5" customHeight="1" x14ac:dyDescent="0.6">
      <c r="A144" s="35">
        <v>1</v>
      </c>
      <c r="B144" s="32" t="s">
        <v>333</v>
      </c>
      <c r="C144" s="107"/>
      <c r="D144" s="104">
        <v>0</v>
      </c>
      <c r="E144" s="104">
        <v>0</v>
      </c>
      <c r="F144" s="111">
        <v>2000</v>
      </c>
      <c r="G144" s="146">
        <f t="shared" si="17"/>
        <v>2000</v>
      </c>
      <c r="H144" s="18">
        <f t="shared" si="18"/>
        <v>0</v>
      </c>
      <c r="I144" s="9">
        <v>0</v>
      </c>
      <c r="J144" s="10">
        <v>0</v>
      </c>
      <c r="K144" s="28" t="s">
        <v>194</v>
      </c>
      <c r="L144" s="94" t="s">
        <v>19</v>
      </c>
    </row>
    <row r="145" spans="1:42" ht="168.65" customHeight="1" x14ac:dyDescent="0.6">
      <c r="A145" s="35">
        <v>1</v>
      </c>
      <c r="B145" s="32" t="s">
        <v>238</v>
      </c>
      <c r="C145" s="107"/>
      <c r="D145" s="104">
        <v>0</v>
      </c>
      <c r="E145" s="104">
        <v>0</v>
      </c>
      <c r="F145" s="111">
        <f>10000-10000</f>
        <v>0</v>
      </c>
      <c r="G145" s="146">
        <f t="shared" si="17"/>
        <v>0</v>
      </c>
      <c r="H145" s="18">
        <f t="shared" si="18"/>
        <v>0</v>
      </c>
      <c r="I145" s="9">
        <v>0</v>
      </c>
      <c r="J145" s="10">
        <v>0</v>
      </c>
      <c r="K145" s="28" t="s">
        <v>195</v>
      </c>
      <c r="L145" s="94" t="s">
        <v>19</v>
      </c>
    </row>
    <row r="146" spans="1:42" ht="183.65" customHeight="1" x14ac:dyDescent="0.6">
      <c r="A146" s="35">
        <v>1</v>
      </c>
      <c r="B146" s="32" t="s">
        <v>239</v>
      </c>
      <c r="C146" s="107"/>
      <c r="D146" s="104">
        <v>0</v>
      </c>
      <c r="E146" s="104">
        <v>0</v>
      </c>
      <c r="F146" s="111">
        <f>2000-2000</f>
        <v>0</v>
      </c>
      <c r="G146" s="146">
        <f t="shared" si="17"/>
        <v>0</v>
      </c>
      <c r="H146" s="18">
        <f t="shared" si="18"/>
        <v>0</v>
      </c>
      <c r="I146" s="9">
        <v>0</v>
      </c>
      <c r="J146" s="10">
        <v>0</v>
      </c>
      <c r="K146" s="28" t="s">
        <v>196</v>
      </c>
      <c r="L146" s="94" t="s">
        <v>19</v>
      </c>
    </row>
    <row r="147" spans="1:42" s="12" customFormat="1" ht="56.15" customHeight="1" x14ac:dyDescent="0.35">
      <c r="A147" s="228" t="s">
        <v>25</v>
      </c>
      <c r="B147" s="228"/>
      <c r="C147" s="91">
        <f>SUM(C139:C142)</f>
        <v>43472.29</v>
      </c>
      <c r="D147" s="91">
        <f>SUM(D139:D146)</f>
        <v>30094.43</v>
      </c>
      <c r="E147" s="91">
        <f>SUM(E139:E146)</f>
        <v>2839</v>
      </c>
      <c r="F147" s="91">
        <f>SUM(F139:F146)</f>
        <v>68397.566666666666</v>
      </c>
      <c r="G147" s="91">
        <f>SUM(G139:G146)</f>
        <v>71236.566666666666</v>
      </c>
      <c r="H147" s="19">
        <f>IFERROR(D147/C147*100-100,0)</f>
        <v>-30.773304097851764</v>
      </c>
      <c r="I147" s="19">
        <f>SUM(I139:I146)</f>
        <v>0</v>
      </c>
      <c r="J147" s="19">
        <f>IFERROR(I147/#REF!*100,)</f>
        <v>0</v>
      </c>
      <c r="K147" s="36"/>
      <c r="L147" s="96">
        <f>SUM(L139:L142)</f>
        <v>0</v>
      </c>
      <c r="M147" s="55"/>
    </row>
    <row r="148" spans="1:42" ht="55.9" customHeight="1" x14ac:dyDescent="0.6">
      <c r="A148" s="244"/>
      <c r="B148" s="244"/>
      <c r="C148" s="244"/>
      <c r="D148" s="244"/>
      <c r="E148" s="244"/>
      <c r="F148" s="244"/>
      <c r="G148" s="244"/>
      <c r="H148" s="244"/>
      <c r="I148" s="245"/>
      <c r="J148" s="245"/>
    </row>
    <row r="149" spans="1:42" ht="97.5" customHeight="1" x14ac:dyDescent="0.6">
      <c r="A149" s="220" t="s">
        <v>1</v>
      </c>
      <c r="B149" s="221"/>
      <c r="C149" s="222" t="s">
        <v>49</v>
      </c>
      <c r="D149" s="222"/>
      <c r="E149" s="222"/>
      <c r="F149" s="222"/>
      <c r="G149" s="222"/>
      <c r="H149" s="222"/>
      <c r="I149" s="159"/>
      <c r="J149" s="159"/>
      <c r="P149" s="2"/>
      <c r="Q149" s="3"/>
      <c r="R149" s="3"/>
      <c r="S149" s="3"/>
      <c r="T149" s="3"/>
      <c r="U149" s="3"/>
      <c r="V149" s="3"/>
      <c r="W149" s="3"/>
      <c r="X149" s="3"/>
      <c r="Y149" s="3"/>
    </row>
    <row r="150" spans="1:42" ht="97.5" customHeight="1" x14ac:dyDescent="0.6">
      <c r="A150" s="221" t="s">
        <v>3</v>
      </c>
      <c r="B150" s="221"/>
      <c r="C150" s="222" t="s">
        <v>37</v>
      </c>
      <c r="D150" s="222"/>
      <c r="E150" s="222"/>
      <c r="F150" s="222"/>
      <c r="G150" s="222"/>
      <c r="H150" s="222"/>
      <c r="I150" s="160"/>
      <c r="J150" s="160"/>
      <c r="X150" s="3"/>
      <c r="Y150" s="3"/>
    </row>
    <row r="151" spans="1:42" s="6" customFormat="1" ht="49.5" customHeight="1" x14ac:dyDescent="0.6">
      <c r="A151" s="20"/>
      <c r="B151" s="4"/>
      <c r="C151" s="106"/>
      <c r="D151" s="106"/>
      <c r="E151" s="106"/>
      <c r="F151" s="106"/>
      <c r="G151" s="106"/>
      <c r="H151" s="5"/>
      <c r="I151" s="155"/>
      <c r="J151" s="155"/>
      <c r="K151" s="27"/>
      <c r="L151" s="95"/>
      <c r="P151" s="7"/>
      <c r="Q151" s="8"/>
      <c r="R151" s="8"/>
      <c r="S151" s="8"/>
      <c r="T151" s="8"/>
      <c r="U151" s="8"/>
      <c r="V151" s="8"/>
      <c r="W151" s="8"/>
      <c r="X151" s="8"/>
      <c r="Y151" s="8"/>
    </row>
    <row r="152" spans="1:42" ht="97.5" customHeight="1" x14ac:dyDescent="0.6">
      <c r="A152" s="223" t="s">
        <v>5</v>
      </c>
      <c r="B152" s="224"/>
      <c r="C152" s="223" t="s">
        <v>6</v>
      </c>
      <c r="D152" s="224"/>
      <c r="E152" s="224"/>
      <c r="F152" s="224"/>
      <c r="G152" s="224"/>
      <c r="H152" s="225"/>
      <c r="I152" s="226" t="s">
        <v>7</v>
      </c>
      <c r="J152" s="227"/>
      <c r="K152" s="233" t="s">
        <v>309</v>
      </c>
      <c r="L152" s="236" t="s">
        <v>9</v>
      </c>
      <c r="O152" s="8"/>
      <c r="P152" s="8"/>
      <c r="Q152" s="8"/>
      <c r="R152" s="8"/>
      <c r="S152" s="8"/>
      <c r="T152" s="8"/>
      <c r="U152" s="8"/>
      <c r="V152" s="8"/>
      <c r="W152" s="3"/>
      <c r="X152" s="3"/>
      <c r="Y152" s="3"/>
    </row>
    <row r="153" spans="1:42" ht="56.15" customHeight="1" x14ac:dyDescent="0.6">
      <c r="A153" s="223" t="s">
        <v>10</v>
      </c>
      <c r="B153" s="224"/>
      <c r="C153" s="229" t="s">
        <v>11</v>
      </c>
      <c r="D153" s="242" t="s">
        <v>310</v>
      </c>
      <c r="E153" s="223" t="s">
        <v>313</v>
      </c>
      <c r="F153" s="224"/>
      <c r="G153" s="225"/>
      <c r="H153" s="239" t="s">
        <v>315</v>
      </c>
      <c r="I153" s="240" t="s">
        <v>14</v>
      </c>
      <c r="J153" s="240" t="s">
        <v>15</v>
      </c>
      <c r="K153" s="234"/>
      <c r="L153" s="237"/>
      <c r="O153" s="8"/>
      <c r="P153" s="8"/>
      <c r="Q153" s="8"/>
      <c r="R153" s="8"/>
      <c r="S153" s="8"/>
      <c r="T153" s="8"/>
      <c r="U153" s="8"/>
      <c r="V153" s="8"/>
      <c r="W153" s="3"/>
      <c r="X153" s="3"/>
      <c r="Y153" s="3"/>
    </row>
    <row r="154" spans="1:42" ht="97.5" customHeight="1" x14ac:dyDescent="0.6">
      <c r="A154" s="16" t="s">
        <v>16</v>
      </c>
      <c r="B154" s="16" t="s">
        <v>17</v>
      </c>
      <c r="C154" s="230"/>
      <c r="D154" s="243"/>
      <c r="E154" s="16" t="s">
        <v>311</v>
      </c>
      <c r="F154" s="16" t="s">
        <v>312</v>
      </c>
      <c r="G154" s="16" t="s">
        <v>314</v>
      </c>
      <c r="H154" s="239"/>
      <c r="I154" s="241"/>
      <c r="J154" s="241"/>
      <c r="K154" s="235"/>
      <c r="L154" s="238"/>
      <c r="O154" s="8"/>
      <c r="P154" s="8"/>
      <c r="Q154" s="8"/>
      <c r="R154" s="8"/>
      <c r="S154" s="8"/>
      <c r="T154" s="8"/>
      <c r="U154" s="8"/>
      <c r="V154" s="8"/>
      <c r="W154" s="3"/>
      <c r="X154" s="3"/>
      <c r="Y154" s="3"/>
      <c r="AP154" s="1" t="s">
        <v>18</v>
      </c>
    </row>
    <row r="155" spans="1:42" x14ac:dyDescent="0.6">
      <c r="A155" s="39">
        <v>1</v>
      </c>
      <c r="B155" s="24" t="s">
        <v>50</v>
      </c>
      <c r="C155" s="103">
        <v>150000</v>
      </c>
      <c r="D155" s="104">
        <v>100000</v>
      </c>
      <c r="E155" s="104">
        <v>0</v>
      </c>
      <c r="F155" s="146">
        <f>D155</f>
        <v>100000</v>
      </c>
      <c r="G155" s="146">
        <f>E155+F155</f>
        <v>100000</v>
      </c>
      <c r="H155" s="18">
        <f>IFERROR(D155/C155*100-100,0)</f>
        <v>-33.333333333333343</v>
      </c>
      <c r="I155" s="9">
        <v>0</v>
      </c>
      <c r="J155" s="10">
        <f>IFERROR(I155/#REF!*100,)</f>
        <v>0</v>
      </c>
      <c r="K155" s="28"/>
      <c r="L155" s="94">
        <f>D155</f>
        <v>100000</v>
      </c>
    </row>
    <row r="156" spans="1:42" s="12" customFormat="1" ht="56.15" customHeight="1" x14ac:dyDescent="0.35">
      <c r="A156" s="228" t="s">
        <v>25</v>
      </c>
      <c r="B156" s="228"/>
      <c r="C156" s="91">
        <f>SUM(C155:C155)</f>
        <v>150000</v>
      </c>
      <c r="D156" s="91">
        <f>SUM(D155:D155)</f>
        <v>100000</v>
      </c>
      <c r="E156" s="91">
        <f>SUM(E155)</f>
        <v>0</v>
      </c>
      <c r="F156" s="91">
        <f>SUM(F155)</f>
        <v>100000</v>
      </c>
      <c r="G156" s="91">
        <f>SUM(G155)</f>
        <v>100000</v>
      </c>
      <c r="H156" s="19">
        <f>IFERROR(D156/C156*100-100,0)</f>
        <v>-33.333333333333343</v>
      </c>
      <c r="I156" s="19">
        <f>SUM(I155:I155)</f>
        <v>0</v>
      </c>
      <c r="J156" s="19">
        <f>IFERROR(I156/#REF!*100,)</f>
        <v>0</v>
      </c>
      <c r="K156" s="36"/>
      <c r="L156" s="96">
        <f>SUM(L155:L155)</f>
        <v>100000</v>
      </c>
      <c r="M156" s="55"/>
    </row>
    <row r="157" spans="1:42" ht="55.9" customHeight="1" x14ac:dyDescent="0.6">
      <c r="A157" s="88"/>
      <c r="B157" s="88"/>
      <c r="C157" s="88"/>
      <c r="D157" s="88"/>
      <c r="E157" s="88"/>
      <c r="F157" s="88"/>
      <c r="G157" s="88"/>
      <c r="H157" s="88"/>
      <c r="I157" s="161"/>
      <c r="J157" s="161"/>
    </row>
    <row r="158" spans="1:42" ht="55" customHeight="1" x14ac:dyDescent="0.6">
      <c r="A158" s="220" t="s">
        <v>1</v>
      </c>
      <c r="B158" s="221"/>
      <c r="C158" s="222" t="s">
        <v>144</v>
      </c>
      <c r="D158" s="222"/>
      <c r="E158" s="222"/>
      <c r="F158" s="222"/>
      <c r="G158" s="222"/>
      <c r="H158" s="222"/>
      <c r="I158" s="159"/>
      <c r="J158" s="159"/>
    </row>
    <row r="159" spans="1:42" ht="94" customHeight="1" x14ac:dyDescent="0.6">
      <c r="A159" s="221" t="s">
        <v>3</v>
      </c>
      <c r="B159" s="221"/>
      <c r="C159" s="222" t="s">
        <v>37</v>
      </c>
      <c r="D159" s="222"/>
      <c r="E159" s="222"/>
      <c r="F159" s="222"/>
      <c r="G159" s="222"/>
      <c r="H159" s="222"/>
      <c r="I159" s="160"/>
      <c r="J159" s="160"/>
    </row>
    <row r="160" spans="1:42" x14ac:dyDescent="0.6">
      <c r="A160" s="20"/>
      <c r="B160" s="4"/>
      <c r="C160" s="106"/>
      <c r="D160" s="106"/>
      <c r="E160" s="106"/>
      <c r="F160" s="106"/>
      <c r="G160" s="106"/>
      <c r="H160" s="5"/>
      <c r="I160" s="155"/>
      <c r="J160" s="155"/>
      <c r="K160" s="27"/>
      <c r="L160" s="95"/>
    </row>
    <row r="161" spans="1:42" ht="26" customHeight="1" x14ac:dyDescent="0.6">
      <c r="A161" s="223" t="s">
        <v>5</v>
      </c>
      <c r="B161" s="224"/>
      <c r="C161" s="223" t="s">
        <v>6</v>
      </c>
      <c r="D161" s="224"/>
      <c r="E161" s="224"/>
      <c r="F161" s="224"/>
      <c r="G161" s="224"/>
      <c r="H161" s="225"/>
      <c r="I161" s="226" t="s">
        <v>7</v>
      </c>
      <c r="J161" s="227"/>
      <c r="K161" s="233" t="s">
        <v>309</v>
      </c>
      <c r="L161" s="236" t="s">
        <v>9</v>
      </c>
    </row>
    <row r="162" spans="1:42" ht="26" customHeight="1" x14ac:dyDescent="0.6">
      <c r="A162" s="223" t="s">
        <v>10</v>
      </c>
      <c r="B162" s="224"/>
      <c r="C162" s="229" t="s">
        <v>11</v>
      </c>
      <c r="D162" s="242" t="s">
        <v>310</v>
      </c>
      <c r="E162" s="223" t="s">
        <v>313</v>
      </c>
      <c r="F162" s="224"/>
      <c r="G162" s="225"/>
      <c r="H162" s="239" t="s">
        <v>315</v>
      </c>
      <c r="I162" s="240" t="s">
        <v>14</v>
      </c>
      <c r="J162" s="240" t="s">
        <v>15</v>
      </c>
      <c r="K162" s="234"/>
      <c r="L162" s="237"/>
    </row>
    <row r="163" spans="1:42" ht="78" x14ac:dyDescent="0.6">
      <c r="A163" s="16" t="s">
        <v>16</v>
      </c>
      <c r="B163" s="16" t="s">
        <v>17</v>
      </c>
      <c r="C163" s="230"/>
      <c r="D163" s="243"/>
      <c r="E163" s="16" t="s">
        <v>311</v>
      </c>
      <c r="F163" s="16" t="s">
        <v>312</v>
      </c>
      <c r="G163" s="16" t="s">
        <v>314</v>
      </c>
      <c r="H163" s="239"/>
      <c r="I163" s="241"/>
      <c r="J163" s="241"/>
      <c r="K163" s="235"/>
      <c r="L163" s="238"/>
    </row>
    <row r="164" spans="1:42" x14ac:dyDescent="0.6">
      <c r="A164" s="22">
        <v>1</v>
      </c>
      <c r="B164" s="32" t="s">
        <v>137</v>
      </c>
      <c r="C164" s="104">
        <v>0</v>
      </c>
      <c r="D164" s="104">
        <v>50000</v>
      </c>
      <c r="E164" s="104">
        <v>0</v>
      </c>
      <c r="F164" s="146">
        <f>D164</f>
        <v>50000</v>
      </c>
      <c r="G164" s="146">
        <f>E164+F164</f>
        <v>50000</v>
      </c>
      <c r="H164" s="18">
        <f>IFERROR(D164/C164*100-100,0)</f>
        <v>0</v>
      </c>
      <c r="I164" s="9">
        <v>0</v>
      </c>
      <c r="J164" s="10">
        <f>IFERROR(I164/#REF!*100,)</f>
        <v>0</v>
      </c>
      <c r="K164" s="28"/>
      <c r="L164" s="94">
        <f>D164</f>
        <v>50000</v>
      </c>
    </row>
    <row r="165" spans="1:42" x14ac:dyDescent="0.6">
      <c r="A165" s="228" t="s">
        <v>25</v>
      </c>
      <c r="B165" s="228"/>
      <c r="C165" s="91">
        <f>SUM(C164:C164)</f>
        <v>0</v>
      </c>
      <c r="D165" s="91">
        <f>SUM(D164:D164)</f>
        <v>50000</v>
      </c>
      <c r="E165" s="91">
        <f>SUM(E164)</f>
        <v>0</v>
      </c>
      <c r="F165" s="91">
        <f>SUM(F164)</f>
        <v>50000</v>
      </c>
      <c r="G165" s="91">
        <f>SUM(G164)</f>
        <v>50000</v>
      </c>
      <c r="H165" s="19">
        <f>IFERROR(D165/C165*100-100,0)</f>
        <v>0</v>
      </c>
      <c r="I165" s="19">
        <f>SUM(I164:I164)</f>
        <v>0</v>
      </c>
      <c r="J165" s="19">
        <f>IFERROR(I165/#REF!*100,)</f>
        <v>0</v>
      </c>
      <c r="K165" s="36">
        <v>0</v>
      </c>
      <c r="L165" s="96">
        <f>SUM(L164:L164)</f>
        <v>50000</v>
      </c>
    </row>
    <row r="166" spans="1:42" ht="55.9" customHeight="1" x14ac:dyDescent="0.6">
      <c r="A166" s="88"/>
      <c r="B166" s="88"/>
      <c r="C166" s="88"/>
      <c r="D166" s="88"/>
      <c r="E166" s="88"/>
      <c r="F166" s="88"/>
      <c r="G166" s="88"/>
      <c r="H166" s="88"/>
      <c r="I166" s="161"/>
      <c r="J166" s="161"/>
    </row>
    <row r="167" spans="1:42" ht="97.5" customHeight="1" x14ac:dyDescent="0.6">
      <c r="A167" s="220" t="s">
        <v>1</v>
      </c>
      <c r="B167" s="221"/>
      <c r="C167" s="222" t="s">
        <v>38</v>
      </c>
      <c r="D167" s="222"/>
      <c r="E167" s="222"/>
      <c r="F167" s="222"/>
      <c r="G167" s="222"/>
      <c r="H167" s="222"/>
      <c r="I167" s="159"/>
      <c r="J167" s="159"/>
      <c r="P167" s="2"/>
      <c r="Q167" s="3"/>
      <c r="R167" s="3"/>
      <c r="S167" s="3"/>
      <c r="T167" s="3"/>
      <c r="U167" s="3"/>
      <c r="V167" s="3"/>
      <c r="W167" s="3"/>
      <c r="X167" s="3"/>
      <c r="Y167" s="3"/>
    </row>
    <row r="168" spans="1:42" ht="97.5" customHeight="1" x14ac:dyDescent="0.6">
      <c r="A168" s="221" t="s">
        <v>3</v>
      </c>
      <c r="B168" s="221"/>
      <c r="C168" s="222" t="s">
        <v>39</v>
      </c>
      <c r="D168" s="222"/>
      <c r="E168" s="222"/>
      <c r="F168" s="222"/>
      <c r="G168" s="222"/>
      <c r="H168" s="222"/>
      <c r="I168" s="160"/>
      <c r="J168" s="160"/>
      <c r="X168" s="3"/>
      <c r="Y168" s="3"/>
    </row>
    <row r="169" spans="1:42" s="6" customFormat="1" ht="49.5" customHeight="1" x14ac:dyDescent="0.6">
      <c r="A169" s="20"/>
      <c r="B169" s="4"/>
      <c r="C169" s="106"/>
      <c r="D169" s="106"/>
      <c r="E169" s="106"/>
      <c r="F169" s="106"/>
      <c r="G169" s="106"/>
      <c r="H169" s="5"/>
      <c r="I169" s="155"/>
      <c r="J169" s="155"/>
      <c r="K169" s="27"/>
      <c r="L169" s="95"/>
      <c r="P169" s="7"/>
      <c r="Q169" s="8"/>
      <c r="R169" s="8"/>
      <c r="S169" s="8"/>
      <c r="T169" s="8"/>
      <c r="U169" s="8"/>
      <c r="V169" s="8"/>
      <c r="W169" s="8"/>
      <c r="X169" s="8"/>
      <c r="Y169" s="8"/>
    </row>
    <row r="170" spans="1:42" ht="97.5" customHeight="1" x14ac:dyDescent="0.6">
      <c r="A170" s="223" t="s">
        <v>5</v>
      </c>
      <c r="B170" s="224"/>
      <c r="C170" s="223" t="s">
        <v>6</v>
      </c>
      <c r="D170" s="224"/>
      <c r="E170" s="224"/>
      <c r="F170" s="224"/>
      <c r="G170" s="224"/>
      <c r="H170" s="225"/>
      <c r="I170" s="226" t="s">
        <v>7</v>
      </c>
      <c r="J170" s="227"/>
      <c r="K170" s="233" t="s">
        <v>309</v>
      </c>
      <c r="L170" s="236" t="s">
        <v>9</v>
      </c>
      <c r="O170" s="8"/>
      <c r="P170" s="8"/>
      <c r="Q170" s="8"/>
      <c r="R170" s="8"/>
      <c r="S170" s="8"/>
      <c r="T170" s="8"/>
      <c r="U170" s="8"/>
      <c r="V170" s="8"/>
      <c r="W170" s="3"/>
      <c r="X170" s="3"/>
      <c r="Y170" s="3"/>
    </row>
    <row r="171" spans="1:42" ht="56.15" customHeight="1" x14ac:dyDescent="0.6">
      <c r="A171" s="223" t="s">
        <v>10</v>
      </c>
      <c r="B171" s="224"/>
      <c r="C171" s="229" t="s">
        <v>11</v>
      </c>
      <c r="D171" s="242" t="s">
        <v>310</v>
      </c>
      <c r="E171" s="223" t="s">
        <v>313</v>
      </c>
      <c r="F171" s="224"/>
      <c r="G171" s="225"/>
      <c r="H171" s="239" t="s">
        <v>315</v>
      </c>
      <c r="I171" s="240" t="s">
        <v>14</v>
      </c>
      <c r="J171" s="240" t="s">
        <v>15</v>
      </c>
      <c r="K171" s="234"/>
      <c r="L171" s="237"/>
      <c r="O171" s="8"/>
      <c r="P171" s="8"/>
      <c r="Q171" s="8"/>
      <c r="R171" s="8"/>
      <c r="S171" s="8"/>
      <c r="T171" s="8"/>
      <c r="U171" s="8"/>
      <c r="V171" s="8"/>
      <c r="W171" s="3"/>
      <c r="X171" s="3"/>
      <c r="Y171" s="3"/>
    </row>
    <row r="172" spans="1:42" ht="97.5" customHeight="1" x14ac:dyDescent="0.6">
      <c r="A172" s="16" t="s">
        <v>16</v>
      </c>
      <c r="B172" s="16" t="s">
        <v>17</v>
      </c>
      <c r="C172" s="230"/>
      <c r="D172" s="243"/>
      <c r="E172" s="16" t="s">
        <v>311</v>
      </c>
      <c r="F172" s="16" t="s">
        <v>312</v>
      </c>
      <c r="G172" s="16" t="s">
        <v>314</v>
      </c>
      <c r="H172" s="239"/>
      <c r="I172" s="241"/>
      <c r="J172" s="241"/>
      <c r="K172" s="235"/>
      <c r="L172" s="238"/>
      <c r="O172" s="8"/>
      <c r="P172" s="8"/>
      <c r="Q172" s="8"/>
      <c r="R172" s="8"/>
      <c r="S172" s="8"/>
      <c r="T172" s="8"/>
      <c r="U172" s="8"/>
      <c r="V172" s="8"/>
      <c r="W172" s="3"/>
      <c r="X172" s="3"/>
      <c r="Y172" s="3"/>
      <c r="AP172" s="1" t="s">
        <v>18</v>
      </c>
    </row>
    <row r="173" spans="1:42" ht="105" customHeight="1" x14ac:dyDescent="0.6">
      <c r="A173" s="34">
        <v>10</v>
      </c>
      <c r="B173" s="25" t="s">
        <v>334</v>
      </c>
      <c r="C173" s="103">
        <v>18156.900000000001</v>
      </c>
      <c r="D173" s="104">
        <v>30094.43</v>
      </c>
      <c r="E173" s="104">
        <v>0</v>
      </c>
      <c r="F173" s="146">
        <v>0</v>
      </c>
      <c r="G173" s="146">
        <f>E173+F173</f>
        <v>0</v>
      </c>
      <c r="H173" s="18">
        <f>IFERROR(D173/C173*100-100,0)</f>
        <v>65.746520606491174</v>
      </c>
      <c r="I173" s="9">
        <v>0</v>
      </c>
      <c r="J173" s="10">
        <f>IFERROR(I173/#REF!*100,)</f>
        <v>0</v>
      </c>
      <c r="K173" s="28" t="s">
        <v>19</v>
      </c>
      <c r="L173" s="94" t="s">
        <v>19</v>
      </c>
      <c r="O173" s="8"/>
      <c r="P173" s="2"/>
      <c r="Q173" s="3"/>
      <c r="R173" s="3"/>
      <c r="S173" s="3"/>
      <c r="T173" s="3"/>
      <c r="U173" s="3"/>
      <c r="V173" s="3"/>
      <c r="W173" s="3"/>
      <c r="X173" s="3"/>
      <c r="Y173" s="3"/>
      <c r="AP173" s="1" t="s">
        <v>20</v>
      </c>
    </row>
    <row r="174" spans="1:42" ht="89.25" customHeight="1" x14ac:dyDescent="0.6">
      <c r="A174" s="34">
        <v>3</v>
      </c>
      <c r="B174" s="25" t="s">
        <v>335</v>
      </c>
      <c r="C174" s="107">
        <v>0</v>
      </c>
      <c r="D174" s="104">
        <v>0</v>
      </c>
      <c r="E174" s="104">
        <v>4757.66</v>
      </c>
      <c r="F174" s="146">
        <v>54189.119999999995</v>
      </c>
      <c r="G174" s="146">
        <f t="shared" ref="G174:G182" si="19">E174+F174</f>
        <v>58946.78</v>
      </c>
      <c r="H174" s="18">
        <f t="shared" ref="H174:H182" si="20">IFERROR(D174/C174*100-100,0)</f>
        <v>0</v>
      </c>
      <c r="I174" s="9">
        <v>0</v>
      </c>
      <c r="J174" s="10">
        <v>0</v>
      </c>
      <c r="K174" s="28" t="s">
        <v>19</v>
      </c>
      <c r="L174" s="94" t="s">
        <v>19</v>
      </c>
      <c r="P174" s="2"/>
      <c r="Q174" s="3"/>
      <c r="R174" s="3"/>
      <c r="S174" s="3"/>
      <c r="T174" s="3"/>
      <c r="U174" s="3"/>
      <c r="V174" s="3"/>
      <c r="W174" s="3"/>
      <c r="X174" s="3"/>
      <c r="Y174" s="3"/>
    </row>
    <row r="175" spans="1:42" ht="56.15" customHeight="1" x14ac:dyDescent="0.6">
      <c r="A175" s="34">
        <v>7</v>
      </c>
      <c r="B175" s="25" t="s">
        <v>336</v>
      </c>
      <c r="C175" s="107">
        <v>0</v>
      </c>
      <c r="D175" s="104">
        <v>0</v>
      </c>
      <c r="E175" s="104">
        <v>1002</v>
      </c>
      <c r="F175" s="146">
        <f>(167*8)*5</f>
        <v>6680</v>
      </c>
      <c r="G175" s="146">
        <f t="shared" si="19"/>
        <v>7682</v>
      </c>
      <c r="H175" s="18">
        <f t="shared" si="20"/>
        <v>0</v>
      </c>
      <c r="I175" s="9">
        <v>0</v>
      </c>
      <c r="J175" s="10">
        <v>0</v>
      </c>
      <c r="K175" s="28" t="s">
        <v>19</v>
      </c>
      <c r="L175" s="94" t="s">
        <v>19</v>
      </c>
      <c r="P175" s="2"/>
      <c r="Q175" s="3"/>
      <c r="R175" s="3"/>
      <c r="S175" s="3"/>
      <c r="T175" s="3"/>
      <c r="U175" s="3"/>
      <c r="V175" s="3"/>
      <c r="W175" s="3"/>
      <c r="X175" s="3"/>
      <c r="Y175" s="3"/>
    </row>
    <row r="176" spans="1:42" ht="56.15" customHeight="1" x14ac:dyDescent="0.6">
      <c r="A176" s="34">
        <v>1</v>
      </c>
      <c r="B176" s="31" t="s">
        <v>28</v>
      </c>
      <c r="C176" s="103">
        <v>25000</v>
      </c>
      <c r="D176" s="103">
        <v>0</v>
      </c>
      <c r="E176" s="103">
        <v>0</v>
      </c>
      <c r="F176" s="111">
        <v>10000</v>
      </c>
      <c r="G176" s="146">
        <f t="shared" si="19"/>
        <v>10000</v>
      </c>
      <c r="H176" s="18">
        <f t="shared" si="20"/>
        <v>-100</v>
      </c>
      <c r="I176" s="9">
        <v>0</v>
      </c>
      <c r="J176" s="10">
        <f>IFERROR(I176/#REF!*100,)</f>
        <v>0</v>
      </c>
      <c r="K176" s="28" t="s">
        <v>19</v>
      </c>
      <c r="L176" s="94" t="s">
        <v>19</v>
      </c>
      <c r="M176" s="50"/>
      <c r="P176" s="2"/>
      <c r="Q176" s="3"/>
      <c r="R176" s="3"/>
      <c r="S176" s="3"/>
      <c r="T176" s="3"/>
      <c r="U176" s="3"/>
      <c r="V176" s="3"/>
      <c r="W176" s="3"/>
      <c r="X176" s="3"/>
      <c r="Y176" s="3"/>
    </row>
    <row r="177" spans="1:42" ht="155.15" customHeight="1" x14ac:dyDescent="0.6">
      <c r="A177" s="39">
        <v>1</v>
      </c>
      <c r="B177" s="135" t="s">
        <v>337</v>
      </c>
      <c r="C177" s="107"/>
      <c r="D177" s="104">
        <v>0</v>
      </c>
      <c r="E177" s="104">
        <v>0</v>
      </c>
      <c r="F177" s="111">
        <f>6666.66666666666-3666.67</f>
        <v>2999.9966666666596</v>
      </c>
      <c r="G177" s="146">
        <f t="shared" si="19"/>
        <v>2999.9966666666596</v>
      </c>
      <c r="H177" s="18">
        <f t="shared" si="20"/>
        <v>0</v>
      </c>
      <c r="I177" s="9">
        <v>0</v>
      </c>
      <c r="J177" s="10">
        <v>0</v>
      </c>
      <c r="K177" s="28" t="s">
        <v>198</v>
      </c>
      <c r="L177" s="94" t="s">
        <v>19</v>
      </c>
    </row>
    <row r="178" spans="1:42" ht="136.5" customHeight="1" x14ac:dyDescent="0.6">
      <c r="A178" s="39">
        <v>1</v>
      </c>
      <c r="B178" s="135" t="s">
        <v>232</v>
      </c>
      <c r="C178" s="107"/>
      <c r="D178" s="104">
        <v>0</v>
      </c>
      <c r="E178" s="104">
        <v>0</v>
      </c>
      <c r="F178" s="111">
        <f>1666.66666666667-1666.67</f>
        <v>-3.3333333301470702E-3</v>
      </c>
      <c r="G178" s="146">
        <f t="shared" si="19"/>
        <v>-3.3333333301470702E-3</v>
      </c>
      <c r="H178" s="18">
        <f t="shared" si="20"/>
        <v>0</v>
      </c>
      <c r="I178" s="9">
        <v>0</v>
      </c>
      <c r="J178" s="10">
        <v>0</v>
      </c>
      <c r="K178" s="28" t="s">
        <v>199</v>
      </c>
      <c r="L178" s="94" t="s">
        <v>19</v>
      </c>
    </row>
    <row r="179" spans="1:42" ht="201.65" customHeight="1" x14ac:dyDescent="0.6">
      <c r="A179" s="39">
        <v>1</v>
      </c>
      <c r="B179" s="135" t="s">
        <v>231</v>
      </c>
      <c r="C179" s="107"/>
      <c r="D179" s="104">
        <v>0</v>
      </c>
      <c r="E179" s="104">
        <v>0</v>
      </c>
      <c r="F179" s="111">
        <v>2000</v>
      </c>
      <c r="G179" s="146">
        <f t="shared" si="19"/>
        <v>2000</v>
      </c>
      <c r="H179" s="18">
        <f t="shared" si="20"/>
        <v>0</v>
      </c>
      <c r="I179" s="9">
        <v>0</v>
      </c>
      <c r="J179" s="10">
        <v>0</v>
      </c>
      <c r="K179" s="28" t="s">
        <v>200</v>
      </c>
      <c r="L179" s="94" t="s">
        <v>19</v>
      </c>
    </row>
    <row r="180" spans="1:42" ht="237" customHeight="1" x14ac:dyDescent="0.6">
      <c r="A180" s="39">
        <v>1</v>
      </c>
      <c r="B180" s="32" t="s">
        <v>339</v>
      </c>
      <c r="C180" s="107"/>
      <c r="D180" s="104">
        <v>0</v>
      </c>
      <c r="E180" s="104">
        <v>0</v>
      </c>
      <c r="F180" s="111">
        <f>5000-5000</f>
        <v>0</v>
      </c>
      <c r="G180" s="146">
        <f t="shared" si="19"/>
        <v>0</v>
      </c>
      <c r="H180" s="18">
        <f t="shared" si="20"/>
        <v>0</v>
      </c>
      <c r="I180" s="9">
        <v>0</v>
      </c>
      <c r="J180" s="10">
        <v>0</v>
      </c>
      <c r="K180" s="28" t="s">
        <v>201</v>
      </c>
      <c r="L180" s="94" t="s">
        <v>19</v>
      </c>
    </row>
    <row r="181" spans="1:42" ht="257.14999999999998" customHeight="1" x14ac:dyDescent="0.6">
      <c r="A181" s="39">
        <v>1</v>
      </c>
      <c r="B181" s="135" t="s">
        <v>338</v>
      </c>
      <c r="C181" s="107"/>
      <c r="D181" s="104">
        <v>0</v>
      </c>
      <c r="E181" s="104">
        <v>0</v>
      </c>
      <c r="F181" s="111">
        <f>5000-5000</f>
        <v>0</v>
      </c>
      <c r="G181" s="146">
        <f t="shared" si="19"/>
        <v>0</v>
      </c>
      <c r="H181" s="18">
        <f t="shared" si="20"/>
        <v>0</v>
      </c>
      <c r="I181" s="9">
        <v>0</v>
      </c>
      <c r="J181" s="10">
        <v>0</v>
      </c>
      <c r="K181" s="28" t="s">
        <v>202</v>
      </c>
      <c r="L181" s="94" t="s">
        <v>19</v>
      </c>
    </row>
    <row r="182" spans="1:42" ht="148.5" customHeight="1" x14ac:dyDescent="0.6">
      <c r="A182" s="39">
        <v>1</v>
      </c>
      <c r="B182" s="135" t="s">
        <v>340</v>
      </c>
      <c r="C182" s="107"/>
      <c r="D182" s="104">
        <v>0</v>
      </c>
      <c r="E182" s="104">
        <v>0</v>
      </c>
      <c r="F182" s="111">
        <f>15000-15000</f>
        <v>0</v>
      </c>
      <c r="G182" s="146">
        <f t="shared" si="19"/>
        <v>0</v>
      </c>
      <c r="H182" s="18">
        <f t="shared" si="20"/>
        <v>0</v>
      </c>
      <c r="I182" s="9">
        <v>0</v>
      </c>
      <c r="J182" s="10">
        <v>0</v>
      </c>
      <c r="K182" s="28" t="s">
        <v>203</v>
      </c>
      <c r="L182" s="94" t="s">
        <v>19</v>
      </c>
    </row>
    <row r="183" spans="1:42" s="12" customFormat="1" ht="56.15" customHeight="1" x14ac:dyDescent="0.35">
      <c r="A183" s="228" t="s">
        <v>25</v>
      </c>
      <c r="B183" s="228"/>
      <c r="C183" s="91">
        <f>SUM(C173:C176)</f>
        <v>43156.9</v>
      </c>
      <c r="D183" s="91">
        <f>SUM(D173:D182)</f>
        <v>30094.43</v>
      </c>
      <c r="E183" s="91">
        <f>SUM(E173:E182)</f>
        <v>5759.66</v>
      </c>
      <c r="F183" s="91">
        <f>SUM(F173:F182)</f>
        <v>75869.113333333327</v>
      </c>
      <c r="G183" s="91">
        <f>SUM(G173:G182)</f>
        <v>81628.773333333331</v>
      </c>
      <c r="H183" s="19">
        <f>IFERROR(D183/C183*100-100,0)</f>
        <v>-30.267396407063529</v>
      </c>
      <c r="I183" s="19">
        <f>SUM(I173:I182)</f>
        <v>0</v>
      </c>
      <c r="J183" s="19">
        <f>IFERROR(I183/#REF!*100,)</f>
        <v>0</v>
      </c>
      <c r="K183" s="36"/>
      <c r="L183" s="96">
        <f>SUM(L173:L176)</f>
        <v>0</v>
      </c>
      <c r="M183" s="55"/>
    </row>
    <row r="184" spans="1:42" ht="55.9" customHeight="1" x14ac:dyDescent="0.6">
      <c r="A184" s="244"/>
      <c r="B184" s="244"/>
      <c r="C184" s="244"/>
      <c r="D184" s="244"/>
      <c r="E184" s="244"/>
      <c r="F184" s="244"/>
      <c r="G184" s="244"/>
      <c r="H184" s="244"/>
      <c r="I184" s="245"/>
      <c r="J184" s="245"/>
    </row>
    <row r="185" spans="1:42" ht="97.5" customHeight="1" x14ac:dyDescent="0.6">
      <c r="A185" s="220" t="s">
        <v>1</v>
      </c>
      <c r="B185" s="221"/>
      <c r="C185" s="222" t="s">
        <v>52</v>
      </c>
      <c r="D185" s="222"/>
      <c r="E185" s="222"/>
      <c r="F185" s="222"/>
      <c r="G185" s="222"/>
      <c r="H185" s="222"/>
      <c r="I185" s="159"/>
      <c r="J185" s="159"/>
      <c r="P185" s="2"/>
      <c r="Q185" s="3"/>
      <c r="R185" s="3"/>
      <c r="S185" s="3"/>
      <c r="T185" s="3"/>
      <c r="U185" s="3"/>
      <c r="V185" s="3"/>
      <c r="W185" s="3"/>
      <c r="X185" s="3"/>
      <c r="Y185" s="3"/>
    </row>
    <row r="186" spans="1:42" ht="97.5" customHeight="1" x14ac:dyDescent="0.6">
      <c r="A186" s="221" t="s">
        <v>3</v>
      </c>
      <c r="B186" s="221"/>
      <c r="C186" s="222" t="s">
        <v>39</v>
      </c>
      <c r="D186" s="222"/>
      <c r="E186" s="222"/>
      <c r="F186" s="222"/>
      <c r="G186" s="222"/>
      <c r="H186" s="222"/>
      <c r="I186" s="160"/>
      <c r="J186" s="160"/>
      <c r="X186" s="3"/>
      <c r="Y186" s="3"/>
    </row>
    <row r="187" spans="1:42" s="6" customFormat="1" ht="49.5" customHeight="1" x14ac:dyDescent="0.6">
      <c r="A187" s="20"/>
      <c r="B187" s="4"/>
      <c r="C187" s="106"/>
      <c r="D187" s="106"/>
      <c r="E187" s="106"/>
      <c r="F187" s="106"/>
      <c r="G187" s="106"/>
      <c r="H187" s="5"/>
      <c r="I187" s="155"/>
      <c r="J187" s="155"/>
      <c r="K187" s="27"/>
      <c r="L187" s="95"/>
      <c r="P187" s="7"/>
      <c r="Q187" s="8"/>
      <c r="R187" s="8"/>
      <c r="S187" s="8"/>
      <c r="T187" s="8"/>
      <c r="U187" s="8"/>
      <c r="V187" s="8"/>
      <c r="W187" s="8"/>
      <c r="X187" s="8"/>
      <c r="Y187" s="8"/>
    </row>
    <row r="188" spans="1:42" ht="97.5" customHeight="1" x14ac:dyDescent="0.6">
      <c r="A188" s="223" t="s">
        <v>5</v>
      </c>
      <c r="B188" s="224"/>
      <c r="C188" s="223" t="s">
        <v>6</v>
      </c>
      <c r="D188" s="224"/>
      <c r="E188" s="224"/>
      <c r="F188" s="224"/>
      <c r="G188" s="224"/>
      <c r="H188" s="225"/>
      <c r="I188" s="226" t="s">
        <v>7</v>
      </c>
      <c r="J188" s="227"/>
      <c r="K188" s="233" t="s">
        <v>309</v>
      </c>
      <c r="L188" s="236" t="s">
        <v>9</v>
      </c>
      <c r="O188" s="8"/>
      <c r="P188" s="8"/>
      <c r="Q188" s="8"/>
      <c r="R188" s="8"/>
      <c r="S188" s="8"/>
      <c r="T188" s="8"/>
      <c r="U188" s="8"/>
      <c r="V188" s="8"/>
      <c r="W188" s="3"/>
      <c r="X188" s="3"/>
      <c r="Y188" s="3"/>
    </row>
    <row r="189" spans="1:42" ht="56.15" customHeight="1" x14ac:dyDescent="0.6">
      <c r="A189" s="223" t="s">
        <v>10</v>
      </c>
      <c r="B189" s="224"/>
      <c r="C189" s="229" t="s">
        <v>11</v>
      </c>
      <c r="D189" s="242" t="s">
        <v>310</v>
      </c>
      <c r="E189" s="223" t="s">
        <v>313</v>
      </c>
      <c r="F189" s="224"/>
      <c r="G189" s="225"/>
      <c r="H189" s="239" t="s">
        <v>315</v>
      </c>
      <c r="I189" s="240" t="s">
        <v>14</v>
      </c>
      <c r="J189" s="240" t="s">
        <v>15</v>
      </c>
      <c r="K189" s="234"/>
      <c r="L189" s="237"/>
      <c r="O189" s="8"/>
      <c r="P189" s="8"/>
      <c r="Q189" s="8"/>
      <c r="R189" s="8"/>
      <c r="S189" s="8"/>
      <c r="T189" s="8"/>
      <c r="U189" s="8"/>
      <c r="V189" s="8"/>
      <c r="W189" s="3"/>
      <c r="X189" s="3"/>
      <c r="Y189" s="3"/>
    </row>
    <row r="190" spans="1:42" ht="97.5" customHeight="1" x14ac:dyDescent="0.6">
      <c r="A190" s="16" t="s">
        <v>16</v>
      </c>
      <c r="B190" s="16" t="s">
        <v>17</v>
      </c>
      <c r="C190" s="230"/>
      <c r="D190" s="243"/>
      <c r="E190" s="16" t="s">
        <v>311</v>
      </c>
      <c r="F190" s="16" t="s">
        <v>312</v>
      </c>
      <c r="G190" s="16" t="s">
        <v>314</v>
      </c>
      <c r="H190" s="239"/>
      <c r="I190" s="241"/>
      <c r="J190" s="241"/>
      <c r="K190" s="235"/>
      <c r="L190" s="238"/>
      <c r="O190" s="8"/>
      <c r="P190" s="8"/>
      <c r="Q190" s="8"/>
      <c r="R190" s="8"/>
      <c r="S190" s="8"/>
      <c r="T190" s="8"/>
      <c r="U190" s="8"/>
      <c r="V190" s="8"/>
      <c r="W190" s="3"/>
      <c r="X190" s="3"/>
      <c r="Y190" s="3"/>
      <c r="AP190" s="1" t="s">
        <v>18</v>
      </c>
    </row>
    <row r="191" spans="1:42" ht="156" x14ac:dyDescent="0.6">
      <c r="A191" s="29">
        <v>1</v>
      </c>
      <c r="B191" s="25" t="s">
        <v>53</v>
      </c>
      <c r="C191" s="103">
        <v>500000</v>
      </c>
      <c r="D191" s="104">
        <v>500000</v>
      </c>
      <c r="E191" s="104">
        <v>0</v>
      </c>
      <c r="F191" s="146">
        <f>D191</f>
        <v>500000</v>
      </c>
      <c r="G191" s="146">
        <f>E191+F191</f>
        <v>500000</v>
      </c>
      <c r="H191" s="18">
        <f>IFERROR(D191/C191*100-100,0)</f>
        <v>0</v>
      </c>
      <c r="I191" s="9">
        <v>0</v>
      </c>
      <c r="J191" s="10">
        <f>IFERROR(I191/#REF!*100,)</f>
        <v>0</v>
      </c>
      <c r="K191" s="28" t="s">
        <v>54</v>
      </c>
      <c r="L191" s="94">
        <v>500000</v>
      </c>
    </row>
    <row r="192" spans="1:42" s="12" customFormat="1" ht="56.15" customHeight="1" x14ac:dyDescent="0.35">
      <c r="A192" s="228" t="s">
        <v>25</v>
      </c>
      <c r="B192" s="228"/>
      <c r="C192" s="91">
        <f>SUM(C191:C191)</f>
        <v>500000</v>
      </c>
      <c r="D192" s="91">
        <f>SUM(D191:D191)</f>
        <v>500000</v>
      </c>
      <c r="E192" s="91">
        <f>SUM(E191)</f>
        <v>0</v>
      </c>
      <c r="F192" s="91">
        <f>SUM(F191)</f>
        <v>500000</v>
      </c>
      <c r="G192" s="91">
        <f>SUM(G191)</f>
        <v>500000</v>
      </c>
      <c r="H192" s="19">
        <f>IFERROR(D192/C192*100-100,0)</f>
        <v>0</v>
      </c>
      <c r="I192" s="19">
        <f>SUM(I191:I191)</f>
        <v>0</v>
      </c>
      <c r="J192" s="19">
        <f>IFERROR(I192/#REF!*100,)</f>
        <v>0</v>
      </c>
      <c r="K192" s="36"/>
      <c r="L192" s="96">
        <f>SUM(L191:L191)</f>
        <v>500000</v>
      </c>
      <c r="M192" s="55"/>
    </row>
    <row r="193" spans="1:42" ht="55.9" customHeight="1" x14ac:dyDescent="0.6">
      <c r="A193" s="244"/>
      <c r="B193" s="244"/>
      <c r="C193" s="244"/>
      <c r="D193" s="244"/>
      <c r="E193" s="244"/>
      <c r="F193" s="244"/>
      <c r="G193" s="244"/>
      <c r="H193" s="244"/>
      <c r="I193" s="245"/>
      <c r="J193" s="245"/>
    </row>
    <row r="194" spans="1:42" ht="97.5" customHeight="1" x14ac:dyDescent="0.6">
      <c r="A194" s="220" t="s">
        <v>1</v>
      </c>
      <c r="B194" s="221"/>
      <c r="C194" s="222" t="s">
        <v>40</v>
      </c>
      <c r="D194" s="222"/>
      <c r="E194" s="222"/>
      <c r="F194" s="222"/>
      <c r="G194" s="222"/>
      <c r="H194" s="222"/>
      <c r="I194" s="159"/>
      <c r="J194" s="159"/>
      <c r="P194" s="2"/>
      <c r="Q194" s="3"/>
      <c r="R194" s="3"/>
      <c r="S194" s="3"/>
      <c r="T194" s="3"/>
      <c r="U194" s="3"/>
      <c r="V194" s="3"/>
      <c r="W194" s="3"/>
      <c r="X194" s="3"/>
      <c r="Y194" s="3"/>
    </row>
    <row r="195" spans="1:42" ht="97.5" customHeight="1" x14ac:dyDescent="0.6">
      <c r="A195" s="221" t="s">
        <v>3</v>
      </c>
      <c r="B195" s="221"/>
      <c r="C195" s="222" t="s">
        <v>41</v>
      </c>
      <c r="D195" s="222"/>
      <c r="E195" s="222"/>
      <c r="F195" s="222"/>
      <c r="G195" s="222"/>
      <c r="H195" s="222"/>
      <c r="I195" s="160"/>
      <c r="J195" s="160"/>
      <c r="X195" s="3"/>
      <c r="Y195" s="3"/>
    </row>
    <row r="196" spans="1:42" s="6" customFormat="1" ht="49.5" customHeight="1" x14ac:dyDescent="0.6">
      <c r="A196" s="20"/>
      <c r="B196" s="4"/>
      <c r="C196" s="106"/>
      <c r="D196" s="106"/>
      <c r="E196" s="106"/>
      <c r="F196" s="106"/>
      <c r="G196" s="106"/>
      <c r="H196" s="5"/>
      <c r="I196" s="155"/>
      <c r="J196" s="155"/>
      <c r="K196" s="27"/>
      <c r="L196" s="95"/>
      <c r="P196" s="7"/>
      <c r="Q196" s="8"/>
      <c r="R196" s="8"/>
      <c r="S196" s="8"/>
      <c r="T196" s="8"/>
      <c r="U196" s="8"/>
      <c r="V196" s="8"/>
      <c r="W196" s="8"/>
      <c r="X196" s="8"/>
      <c r="Y196" s="8"/>
    </row>
    <row r="197" spans="1:42" ht="97.5" customHeight="1" x14ac:dyDescent="0.6">
      <c r="A197" s="223" t="s">
        <v>5</v>
      </c>
      <c r="B197" s="224"/>
      <c r="C197" s="223" t="s">
        <v>6</v>
      </c>
      <c r="D197" s="224"/>
      <c r="E197" s="224"/>
      <c r="F197" s="224"/>
      <c r="G197" s="224"/>
      <c r="H197" s="225"/>
      <c r="I197" s="226" t="s">
        <v>7</v>
      </c>
      <c r="J197" s="227"/>
      <c r="K197" s="233" t="s">
        <v>309</v>
      </c>
      <c r="L197" s="236" t="s">
        <v>9</v>
      </c>
      <c r="O197" s="8"/>
      <c r="P197" s="8"/>
      <c r="Q197" s="8"/>
      <c r="R197" s="8"/>
      <c r="S197" s="8"/>
      <c r="T197" s="8"/>
      <c r="U197" s="8"/>
      <c r="V197" s="8"/>
      <c r="W197" s="3"/>
      <c r="X197" s="3"/>
      <c r="Y197" s="3"/>
    </row>
    <row r="198" spans="1:42" ht="56.15" customHeight="1" x14ac:dyDescent="0.6">
      <c r="A198" s="223" t="s">
        <v>10</v>
      </c>
      <c r="B198" s="224"/>
      <c r="C198" s="229" t="s">
        <v>11</v>
      </c>
      <c r="D198" s="242" t="s">
        <v>310</v>
      </c>
      <c r="E198" s="223" t="s">
        <v>313</v>
      </c>
      <c r="F198" s="224"/>
      <c r="G198" s="225"/>
      <c r="H198" s="239" t="s">
        <v>315</v>
      </c>
      <c r="I198" s="240" t="s">
        <v>14</v>
      </c>
      <c r="J198" s="240" t="s">
        <v>15</v>
      </c>
      <c r="K198" s="234"/>
      <c r="L198" s="237"/>
      <c r="O198" s="8"/>
      <c r="P198" s="8"/>
      <c r="Q198" s="8"/>
      <c r="R198" s="8"/>
      <c r="S198" s="8"/>
      <c r="T198" s="8"/>
      <c r="U198" s="8"/>
      <c r="V198" s="8"/>
      <c r="W198" s="3"/>
      <c r="X198" s="3"/>
      <c r="Y198" s="3"/>
    </row>
    <row r="199" spans="1:42" ht="97.5" customHeight="1" x14ac:dyDescent="0.6">
      <c r="A199" s="16" t="s">
        <v>16</v>
      </c>
      <c r="B199" s="16" t="s">
        <v>17</v>
      </c>
      <c r="C199" s="230"/>
      <c r="D199" s="243"/>
      <c r="E199" s="16" t="s">
        <v>311</v>
      </c>
      <c r="F199" s="16" t="s">
        <v>312</v>
      </c>
      <c r="G199" s="16" t="s">
        <v>314</v>
      </c>
      <c r="H199" s="239"/>
      <c r="I199" s="241"/>
      <c r="J199" s="241"/>
      <c r="K199" s="235"/>
      <c r="L199" s="238"/>
      <c r="O199" s="8"/>
      <c r="P199" s="8"/>
      <c r="Q199" s="8"/>
      <c r="R199" s="8"/>
      <c r="S199" s="8"/>
      <c r="T199" s="8"/>
      <c r="U199" s="8"/>
      <c r="V199" s="8"/>
      <c r="W199" s="3"/>
      <c r="X199" s="3"/>
      <c r="Y199" s="3"/>
      <c r="AP199" s="1" t="s">
        <v>18</v>
      </c>
    </row>
    <row r="200" spans="1:42" ht="135" customHeight="1" x14ac:dyDescent="0.6">
      <c r="A200" s="34">
        <v>10</v>
      </c>
      <c r="B200" s="25" t="s">
        <v>341</v>
      </c>
      <c r="C200" s="103">
        <v>23537.66</v>
      </c>
      <c r="D200" s="104">
        <v>30094.43</v>
      </c>
      <c r="E200" s="104">
        <v>0</v>
      </c>
      <c r="F200" s="146">
        <v>0</v>
      </c>
      <c r="G200" s="146">
        <f>E200+F200</f>
        <v>0</v>
      </c>
      <c r="H200" s="18">
        <f t="shared" ref="H200:H209" si="21">IFERROR(D200/C200*100-100,0)</f>
        <v>27.856507401330461</v>
      </c>
      <c r="I200" s="9">
        <v>0</v>
      </c>
      <c r="J200" s="10">
        <f>IFERROR(I200/#REF!*100,)</f>
        <v>0</v>
      </c>
      <c r="K200" s="28" t="s">
        <v>19</v>
      </c>
      <c r="L200" s="94" t="s">
        <v>19</v>
      </c>
      <c r="O200" s="8"/>
      <c r="P200" s="2"/>
      <c r="Q200" s="3"/>
      <c r="R200" s="3"/>
      <c r="S200" s="3"/>
      <c r="T200" s="3"/>
      <c r="U200" s="3"/>
      <c r="V200" s="3"/>
      <c r="W200" s="3"/>
      <c r="X200" s="3"/>
      <c r="Y200" s="3"/>
      <c r="AP200" s="1" t="s">
        <v>20</v>
      </c>
    </row>
    <row r="201" spans="1:42" ht="56.15" customHeight="1" x14ac:dyDescent="0.6">
      <c r="A201" s="30">
        <v>3</v>
      </c>
      <c r="B201" s="25" t="s">
        <v>280</v>
      </c>
      <c r="C201" s="107">
        <v>0</v>
      </c>
      <c r="D201" s="104">
        <v>0</v>
      </c>
      <c r="E201" s="104">
        <v>0</v>
      </c>
      <c r="F201" s="146">
        <f>15179.3*3</f>
        <v>45537.899999999994</v>
      </c>
      <c r="G201" s="146">
        <f t="shared" ref="G201:G208" si="22">E201+F201</f>
        <v>45537.899999999994</v>
      </c>
      <c r="H201" s="18">
        <f t="shared" si="21"/>
        <v>0</v>
      </c>
      <c r="I201" s="9">
        <v>0</v>
      </c>
      <c r="J201" s="10">
        <f>IFERROR(I201/#REF!*100,)</f>
        <v>0</v>
      </c>
      <c r="K201" s="28" t="s">
        <v>19</v>
      </c>
      <c r="L201" s="94" t="s">
        <v>19</v>
      </c>
      <c r="P201" s="2"/>
      <c r="Q201" s="3"/>
      <c r="R201" s="3"/>
      <c r="S201" s="3"/>
      <c r="T201" s="3"/>
      <c r="U201" s="3"/>
      <c r="V201" s="3"/>
      <c r="W201" s="3"/>
      <c r="X201" s="3"/>
      <c r="Y201" s="3"/>
      <c r="AP201" s="1" t="s">
        <v>22</v>
      </c>
    </row>
    <row r="202" spans="1:42" ht="56.15" customHeight="1" x14ac:dyDescent="0.6">
      <c r="A202" s="30">
        <v>7</v>
      </c>
      <c r="B202" s="25" t="s">
        <v>342</v>
      </c>
      <c r="C202" s="107">
        <v>0</v>
      </c>
      <c r="D202" s="104">
        <v>0</v>
      </c>
      <c r="E202" s="104">
        <v>1670</v>
      </c>
      <c r="F202" s="146">
        <f>668*5</f>
        <v>3340</v>
      </c>
      <c r="G202" s="146">
        <f t="shared" si="22"/>
        <v>5010</v>
      </c>
      <c r="H202" s="18">
        <f t="shared" si="21"/>
        <v>0</v>
      </c>
      <c r="I202" s="9">
        <v>0</v>
      </c>
      <c r="J202" s="10"/>
      <c r="K202" s="28" t="s">
        <v>19</v>
      </c>
      <c r="L202" s="94" t="s">
        <v>19</v>
      </c>
      <c r="P202" s="2"/>
      <c r="Q202" s="3"/>
      <c r="R202" s="3"/>
      <c r="S202" s="3"/>
      <c r="T202" s="3"/>
      <c r="U202" s="3"/>
      <c r="V202" s="3"/>
      <c r="W202" s="3"/>
      <c r="X202" s="3"/>
      <c r="Y202" s="3"/>
    </row>
    <row r="203" spans="1:42" ht="56.15" customHeight="1" x14ac:dyDescent="0.6">
      <c r="A203" s="34">
        <v>4</v>
      </c>
      <c r="B203" s="31" t="s">
        <v>28</v>
      </c>
      <c r="C203" s="103">
        <v>47415.520000000004</v>
      </c>
      <c r="D203" s="103">
        <v>0</v>
      </c>
      <c r="E203" s="103">
        <v>0</v>
      </c>
      <c r="F203" s="111">
        <v>10000</v>
      </c>
      <c r="G203" s="146">
        <f t="shared" si="22"/>
        <v>10000</v>
      </c>
      <c r="H203" s="18">
        <f t="shared" si="21"/>
        <v>-100</v>
      </c>
      <c r="I203" s="9">
        <v>0</v>
      </c>
      <c r="J203" s="10">
        <f>IFERROR(I203/#REF!*100,)</f>
        <v>0</v>
      </c>
      <c r="K203" s="28" t="s">
        <v>19</v>
      </c>
      <c r="L203" s="94" t="s">
        <v>19</v>
      </c>
      <c r="M203" s="50"/>
      <c r="P203" s="2"/>
      <c r="Q203" s="3"/>
      <c r="R203" s="3"/>
      <c r="S203" s="3"/>
      <c r="T203" s="3"/>
      <c r="U203" s="3"/>
      <c r="V203" s="3"/>
      <c r="W203" s="3"/>
      <c r="X203" s="3"/>
      <c r="Y203" s="3"/>
    </row>
    <row r="204" spans="1:42" ht="260.14999999999998" customHeight="1" x14ac:dyDescent="0.6">
      <c r="A204" s="35">
        <v>1</v>
      </c>
      <c r="B204" s="32" t="s">
        <v>240</v>
      </c>
      <c r="C204" s="103"/>
      <c r="D204" s="103">
        <v>0</v>
      </c>
      <c r="E204" s="103">
        <v>0</v>
      </c>
      <c r="F204" s="111">
        <f>666.666666666666-666.67</f>
        <v>-3.3333333340124227E-3</v>
      </c>
      <c r="G204" s="146">
        <f t="shared" si="22"/>
        <v>-3.3333333340124227E-3</v>
      </c>
      <c r="H204" s="18">
        <f t="shared" si="21"/>
        <v>0</v>
      </c>
      <c r="I204" s="9">
        <v>0</v>
      </c>
      <c r="J204" s="10">
        <v>0</v>
      </c>
      <c r="K204" s="28" t="s">
        <v>204</v>
      </c>
      <c r="L204" s="94" t="s">
        <v>19</v>
      </c>
      <c r="P204" s="2"/>
      <c r="Q204" s="3"/>
      <c r="R204" s="3"/>
      <c r="S204" s="3"/>
      <c r="T204" s="3"/>
      <c r="U204" s="3"/>
      <c r="V204" s="3"/>
      <c r="W204" s="3"/>
      <c r="X204" s="3"/>
      <c r="Y204" s="3"/>
    </row>
    <row r="205" spans="1:42" ht="225" customHeight="1" x14ac:dyDescent="0.6">
      <c r="A205" s="35">
        <v>1</v>
      </c>
      <c r="B205" s="32" t="s">
        <v>283</v>
      </c>
      <c r="C205" s="103"/>
      <c r="D205" s="103">
        <v>0</v>
      </c>
      <c r="E205" s="103">
        <v>0</v>
      </c>
      <c r="F205" s="111">
        <v>2000</v>
      </c>
      <c r="G205" s="146">
        <f t="shared" si="22"/>
        <v>2000</v>
      </c>
      <c r="H205" s="18">
        <f t="shared" si="21"/>
        <v>0</v>
      </c>
      <c r="I205" s="9">
        <v>0</v>
      </c>
      <c r="J205" s="10">
        <v>0</v>
      </c>
      <c r="K205" s="28" t="s">
        <v>205</v>
      </c>
      <c r="L205" s="94" t="s">
        <v>19</v>
      </c>
      <c r="P205" s="2"/>
      <c r="Q205" s="3"/>
      <c r="R205" s="3"/>
      <c r="S205" s="3"/>
      <c r="T205" s="3"/>
      <c r="U205" s="3"/>
      <c r="V205" s="3"/>
      <c r="W205" s="3"/>
      <c r="X205" s="3"/>
      <c r="Y205" s="3"/>
    </row>
    <row r="206" spans="1:42" ht="130" customHeight="1" x14ac:dyDescent="0.6">
      <c r="A206" s="35">
        <v>1</v>
      </c>
      <c r="B206" s="32" t="s">
        <v>241</v>
      </c>
      <c r="C206" s="103"/>
      <c r="D206" s="103">
        <v>0</v>
      </c>
      <c r="E206" s="103">
        <v>0</v>
      </c>
      <c r="F206" s="111">
        <f>1666.66666666667-1666.67</f>
        <v>-3.3333333301470702E-3</v>
      </c>
      <c r="G206" s="146">
        <f t="shared" si="22"/>
        <v>-3.3333333301470702E-3</v>
      </c>
      <c r="H206" s="18">
        <f t="shared" si="21"/>
        <v>0</v>
      </c>
      <c r="I206" s="9">
        <v>0</v>
      </c>
      <c r="J206" s="10">
        <v>0</v>
      </c>
      <c r="K206" s="28" t="s">
        <v>206</v>
      </c>
      <c r="L206" s="94" t="s">
        <v>19</v>
      </c>
      <c r="P206" s="2"/>
      <c r="Q206" s="3"/>
      <c r="R206" s="3"/>
      <c r="S206" s="3"/>
      <c r="T206" s="3"/>
      <c r="U206" s="3"/>
      <c r="V206" s="3"/>
      <c r="W206" s="3"/>
      <c r="X206" s="3"/>
      <c r="Y206" s="3"/>
    </row>
    <row r="207" spans="1:42" ht="145" customHeight="1" x14ac:dyDescent="0.6">
      <c r="A207" s="35">
        <v>1</v>
      </c>
      <c r="B207" s="32" t="s">
        <v>284</v>
      </c>
      <c r="C207" s="103"/>
      <c r="D207" s="103">
        <v>0</v>
      </c>
      <c r="E207" s="103">
        <v>0</v>
      </c>
      <c r="F207" s="111">
        <f>1666.66666666667-1666.67</f>
        <v>-3.3333333301470702E-3</v>
      </c>
      <c r="G207" s="146">
        <f t="shared" si="22"/>
        <v>-3.3333333301470702E-3</v>
      </c>
      <c r="H207" s="18">
        <f t="shared" si="21"/>
        <v>0</v>
      </c>
      <c r="I207" s="9">
        <v>0</v>
      </c>
      <c r="J207" s="10">
        <v>0</v>
      </c>
      <c r="K207" s="28" t="s">
        <v>207</v>
      </c>
      <c r="L207" s="94" t="s">
        <v>19</v>
      </c>
      <c r="P207" s="2"/>
      <c r="Q207" s="3"/>
      <c r="R207" s="3"/>
      <c r="S207" s="3"/>
      <c r="T207" s="3"/>
      <c r="U207" s="3"/>
      <c r="V207" s="3"/>
      <c r="W207" s="3"/>
      <c r="X207" s="3"/>
      <c r="Y207" s="3"/>
    </row>
    <row r="208" spans="1:42" ht="130" customHeight="1" x14ac:dyDescent="0.6">
      <c r="A208" s="35">
        <v>1</v>
      </c>
      <c r="B208" s="32" t="s">
        <v>242</v>
      </c>
      <c r="C208" s="103"/>
      <c r="D208" s="103">
        <v>0</v>
      </c>
      <c r="E208" s="103">
        <v>0</v>
      </c>
      <c r="F208" s="111">
        <f>3333.33333333334-3333.33</f>
        <v>3.3333333399241383E-3</v>
      </c>
      <c r="G208" s="146">
        <f t="shared" si="22"/>
        <v>3.3333333399241383E-3</v>
      </c>
      <c r="H208" s="18">
        <f t="shared" si="21"/>
        <v>0</v>
      </c>
      <c r="I208" s="9">
        <v>0</v>
      </c>
      <c r="J208" s="10">
        <v>0</v>
      </c>
      <c r="K208" s="28" t="s">
        <v>208</v>
      </c>
      <c r="L208" s="94" t="s">
        <v>19</v>
      </c>
      <c r="P208" s="2"/>
      <c r="Q208" s="3"/>
      <c r="R208" s="3"/>
      <c r="S208" s="3"/>
      <c r="T208" s="3"/>
      <c r="U208" s="3"/>
      <c r="V208" s="3"/>
      <c r="W208" s="3"/>
      <c r="X208" s="3"/>
      <c r="Y208" s="3"/>
    </row>
    <row r="209" spans="1:42" s="12" customFormat="1" ht="56.15" customHeight="1" x14ac:dyDescent="0.35">
      <c r="A209" s="228" t="s">
        <v>25</v>
      </c>
      <c r="B209" s="228"/>
      <c r="C209" s="91">
        <f>SUM(C200:C203)</f>
        <v>70953.180000000008</v>
      </c>
      <c r="D209" s="91">
        <f>SUM(D200:D208)</f>
        <v>30094.43</v>
      </c>
      <c r="E209" s="91">
        <f>SUM(E200:E208)</f>
        <v>1670</v>
      </c>
      <c r="F209" s="91">
        <f>SUM(F200:F208)</f>
        <v>60877.893333333348</v>
      </c>
      <c r="G209" s="91">
        <f>SUM(G200:G208)</f>
        <v>62547.893333333348</v>
      </c>
      <c r="H209" s="19">
        <f t="shared" si="21"/>
        <v>-57.585509204802385</v>
      </c>
      <c r="I209" s="19">
        <f>SUM(I200:I208)</f>
        <v>0</v>
      </c>
      <c r="J209" s="19">
        <f>IFERROR(I209/#REF!*100,)</f>
        <v>0</v>
      </c>
      <c r="K209" s="36"/>
      <c r="L209" s="96">
        <f>SUM(L200:L203)</f>
        <v>0</v>
      </c>
      <c r="M209" s="55"/>
    </row>
    <row r="210" spans="1:42" ht="55.9" customHeight="1" x14ac:dyDescent="0.6">
      <c r="A210" s="244"/>
      <c r="B210" s="244"/>
      <c r="C210" s="244"/>
      <c r="D210" s="244"/>
      <c r="E210" s="244"/>
      <c r="F210" s="244"/>
      <c r="G210" s="244"/>
      <c r="H210" s="244"/>
      <c r="I210" s="245"/>
      <c r="J210" s="245"/>
    </row>
    <row r="211" spans="1:42" ht="97.5" customHeight="1" x14ac:dyDescent="0.6">
      <c r="A211" s="220" t="s">
        <v>1</v>
      </c>
      <c r="B211" s="221"/>
      <c r="C211" s="222" t="s">
        <v>47</v>
      </c>
      <c r="D211" s="222"/>
      <c r="E211" s="222"/>
      <c r="F211" s="222"/>
      <c r="G211" s="222"/>
      <c r="H211" s="222"/>
      <c r="I211" s="159"/>
      <c r="J211" s="159"/>
      <c r="P211" s="2"/>
      <c r="Q211" s="3"/>
      <c r="R211" s="3"/>
      <c r="S211" s="3"/>
      <c r="T211" s="3"/>
      <c r="U211" s="3"/>
      <c r="V211" s="3"/>
      <c r="W211" s="3"/>
      <c r="X211" s="3"/>
      <c r="Y211" s="3"/>
    </row>
    <row r="212" spans="1:42" ht="97.5" customHeight="1" x14ac:dyDescent="0.6">
      <c r="A212" s="221" t="s">
        <v>3</v>
      </c>
      <c r="B212" s="221"/>
      <c r="C212" s="222" t="s">
        <v>48</v>
      </c>
      <c r="D212" s="222"/>
      <c r="E212" s="222"/>
      <c r="F212" s="222"/>
      <c r="G212" s="222"/>
      <c r="H212" s="222"/>
      <c r="I212" s="160"/>
      <c r="J212" s="160"/>
      <c r="X212" s="3"/>
      <c r="Y212" s="3"/>
    </row>
    <row r="213" spans="1:42" s="6" customFormat="1" ht="49.5" customHeight="1" x14ac:dyDescent="0.6">
      <c r="A213" s="20"/>
      <c r="B213" s="4"/>
      <c r="C213" s="106"/>
      <c r="D213" s="106"/>
      <c r="E213" s="106"/>
      <c r="F213" s="106"/>
      <c r="G213" s="106"/>
      <c r="H213" s="5"/>
      <c r="I213" s="155"/>
      <c r="J213" s="155"/>
      <c r="K213" s="27"/>
      <c r="L213" s="95"/>
      <c r="P213" s="7"/>
      <c r="Q213" s="8"/>
      <c r="R213" s="8"/>
      <c r="S213" s="8"/>
      <c r="T213" s="8"/>
      <c r="U213" s="8"/>
      <c r="V213" s="8"/>
      <c r="W213" s="8"/>
      <c r="X213" s="8"/>
      <c r="Y213" s="8"/>
    </row>
    <row r="214" spans="1:42" ht="97.5" customHeight="1" x14ac:dyDescent="0.6">
      <c r="A214" s="223" t="s">
        <v>5</v>
      </c>
      <c r="B214" s="224"/>
      <c r="C214" s="223" t="s">
        <v>6</v>
      </c>
      <c r="D214" s="224"/>
      <c r="E214" s="224"/>
      <c r="F214" s="224"/>
      <c r="G214" s="224"/>
      <c r="H214" s="225"/>
      <c r="I214" s="226" t="s">
        <v>7</v>
      </c>
      <c r="J214" s="227"/>
      <c r="K214" s="233" t="s">
        <v>309</v>
      </c>
      <c r="L214" s="236" t="s">
        <v>9</v>
      </c>
      <c r="O214" s="8"/>
      <c r="P214" s="8"/>
      <c r="Q214" s="8"/>
      <c r="R214" s="8"/>
      <c r="S214" s="8"/>
      <c r="T214" s="8"/>
      <c r="U214" s="8"/>
      <c r="V214" s="8"/>
      <c r="W214" s="3"/>
      <c r="X214" s="3"/>
      <c r="Y214" s="3"/>
    </row>
    <row r="215" spans="1:42" ht="56.15" customHeight="1" x14ac:dyDescent="0.6">
      <c r="A215" s="223" t="s">
        <v>10</v>
      </c>
      <c r="B215" s="224"/>
      <c r="C215" s="229" t="s">
        <v>11</v>
      </c>
      <c r="D215" s="242" t="s">
        <v>310</v>
      </c>
      <c r="E215" s="223" t="s">
        <v>313</v>
      </c>
      <c r="F215" s="224"/>
      <c r="G215" s="225"/>
      <c r="H215" s="239" t="s">
        <v>315</v>
      </c>
      <c r="I215" s="240" t="s">
        <v>14</v>
      </c>
      <c r="J215" s="240" t="s">
        <v>15</v>
      </c>
      <c r="K215" s="234"/>
      <c r="L215" s="237"/>
      <c r="O215" s="8"/>
      <c r="P215" s="8"/>
      <c r="Q215" s="8"/>
      <c r="R215" s="8"/>
      <c r="S215" s="8"/>
      <c r="T215" s="8"/>
      <c r="U215" s="8"/>
      <c r="V215" s="8"/>
      <c r="W215" s="3"/>
      <c r="X215" s="3"/>
      <c r="Y215" s="3"/>
    </row>
    <row r="216" spans="1:42" ht="97.5" customHeight="1" x14ac:dyDescent="0.6">
      <c r="A216" s="16" t="s">
        <v>16</v>
      </c>
      <c r="B216" s="16" t="s">
        <v>17</v>
      </c>
      <c r="C216" s="230"/>
      <c r="D216" s="243"/>
      <c r="E216" s="16" t="s">
        <v>311</v>
      </c>
      <c r="F216" s="16" t="s">
        <v>312</v>
      </c>
      <c r="G216" s="16" t="s">
        <v>314</v>
      </c>
      <c r="H216" s="239"/>
      <c r="I216" s="241"/>
      <c r="J216" s="241"/>
      <c r="K216" s="235"/>
      <c r="L216" s="238"/>
      <c r="O216" s="8"/>
      <c r="P216" s="8"/>
      <c r="Q216" s="8"/>
      <c r="R216" s="8"/>
      <c r="S216" s="8"/>
      <c r="T216" s="8"/>
      <c r="U216" s="8"/>
      <c r="V216" s="8"/>
      <c r="W216" s="3"/>
      <c r="X216" s="3"/>
      <c r="Y216" s="3"/>
      <c r="AP216" s="1" t="s">
        <v>18</v>
      </c>
    </row>
    <row r="217" spans="1:42" ht="78" x14ac:dyDescent="0.6">
      <c r="A217" s="37">
        <v>1</v>
      </c>
      <c r="B217" s="32" t="s">
        <v>343</v>
      </c>
      <c r="C217" s="103">
        <v>350000</v>
      </c>
      <c r="D217" s="104">
        <v>250000</v>
      </c>
      <c r="E217" s="104">
        <v>0</v>
      </c>
      <c r="F217" s="146">
        <f>D217</f>
        <v>250000</v>
      </c>
      <c r="G217" s="146">
        <f>E217+F217</f>
        <v>250000</v>
      </c>
      <c r="H217" s="18">
        <f>IFERROR(D217/C217*100-100,0)</f>
        <v>-28.571428571428569</v>
      </c>
      <c r="I217" s="9">
        <v>0</v>
      </c>
      <c r="J217" s="10">
        <f>IFERROR(I217/#REF!*100,)</f>
        <v>0</v>
      </c>
      <c r="K217" s="28"/>
      <c r="L217" s="94">
        <f>D217</f>
        <v>250000</v>
      </c>
      <c r="O217" s="8"/>
      <c r="P217" s="2"/>
      <c r="Q217" s="3"/>
      <c r="R217" s="3"/>
      <c r="S217" s="3"/>
      <c r="T217" s="3"/>
      <c r="U217" s="3"/>
      <c r="V217" s="3"/>
      <c r="W217" s="3"/>
      <c r="X217" s="3"/>
      <c r="Y217" s="3"/>
      <c r="AP217" s="1" t="s">
        <v>20</v>
      </c>
    </row>
    <row r="218" spans="1:42" s="12" customFormat="1" ht="56.15" customHeight="1" x14ac:dyDescent="0.35">
      <c r="A218" s="228" t="s">
        <v>25</v>
      </c>
      <c r="B218" s="228"/>
      <c r="C218" s="91">
        <f>SUM(C217:C217)</f>
        <v>350000</v>
      </c>
      <c r="D218" s="91">
        <f>SUM(D217:D217)</f>
        <v>250000</v>
      </c>
      <c r="E218" s="91">
        <f>SUM(E217)</f>
        <v>0</v>
      </c>
      <c r="F218" s="91">
        <f>SUM(F217)</f>
        <v>250000</v>
      </c>
      <c r="G218" s="91">
        <f>SUM(G217)</f>
        <v>250000</v>
      </c>
      <c r="H218" s="19">
        <f>IFERROR(D218/C218*100-100,0)</f>
        <v>-28.571428571428569</v>
      </c>
      <c r="I218" s="19">
        <f>SUM(I217:I217)</f>
        <v>0</v>
      </c>
      <c r="J218" s="19">
        <f>IFERROR(I218/#REF!*100,)</f>
        <v>0</v>
      </c>
      <c r="K218" s="36"/>
      <c r="L218" s="96">
        <f>SUM(L217:L217)</f>
        <v>250000</v>
      </c>
      <c r="M218" s="55"/>
    </row>
    <row r="219" spans="1:42" ht="55.9" customHeight="1" x14ac:dyDescent="0.6">
      <c r="A219" s="244"/>
      <c r="B219" s="244"/>
      <c r="C219" s="244"/>
      <c r="D219" s="244"/>
      <c r="E219" s="244"/>
      <c r="F219" s="244"/>
      <c r="G219" s="244"/>
      <c r="H219" s="244"/>
      <c r="I219" s="245"/>
      <c r="J219" s="245"/>
    </row>
    <row r="220" spans="1:42" ht="97.5" customHeight="1" x14ac:dyDescent="0.6">
      <c r="A220" s="220" t="s">
        <v>1</v>
      </c>
      <c r="B220" s="221"/>
      <c r="C220" s="222" t="s">
        <v>256</v>
      </c>
      <c r="D220" s="222"/>
      <c r="E220" s="222"/>
      <c r="F220" s="222"/>
      <c r="G220" s="222"/>
      <c r="H220" s="222"/>
      <c r="I220" s="159"/>
      <c r="J220" s="159"/>
      <c r="P220" s="2"/>
      <c r="Q220" s="3"/>
      <c r="R220" s="3"/>
      <c r="S220" s="3"/>
      <c r="T220" s="3"/>
      <c r="U220" s="3"/>
      <c r="V220" s="3"/>
      <c r="W220" s="3"/>
      <c r="X220" s="3"/>
      <c r="Y220" s="3"/>
    </row>
    <row r="221" spans="1:42" ht="97.5" customHeight="1" x14ac:dyDescent="0.6">
      <c r="A221" s="221" t="s">
        <v>3</v>
      </c>
      <c r="B221" s="221"/>
      <c r="C221" s="222" t="s">
        <v>43</v>
      </c>
      <c r="D221" s="222"/>
      <c r="E221" s="222"/>
      <c r="F221" s="222"/>
      <c r="G221" s="222"/>
      <c r="H221" s="222"/>
      <c r="I221" s="160"/>
      <c r="J221" s="160"/>
      <c r="X221" s="3"/>
      <c r="Y221" s="3"/>
    </row>
    <row r="222" spans="1:42" s="6" customFormat="1" ht="49.5" customHeight="1" x14ac:dyDescent="0.6">
      <c r="A222" s="20"/>
      <c r="B222" s="4"/>
      <c r="C222" s="106"/>
      <c r="D222" s="106"/>
      <c r="E222" s="106"/>
      <c r="F222" s="106"/>
      <c r="G222" s="106"/>
      <c r="H222" s="5"/>
      <c r="I222" s="155"/>
      <c r="J222" s="155"/>
      <c r="K222" s="27"/>
      <c r="L222" s="95"/>
      <c r="P222" s="7"/>
      <c r="Q222" s="8"/>
      <c r="R222" s="8"/>
      <c r="S222" s="8"/>
      <c r="T222" s="8"/>
      <c r="U222" s="8"/>
      <c r="V222" s="8"/>
      <c r="W222" s="8"/>
      <c r="X222" s="8"/>
      <c r="Y222" s="8"/>
    </row>
    <row r="223" spans="1:42" ht="97.5" customHeight="1" x14ac:dyDescent="0.6">
      <c r="A223" s="223" t="s">
        <v>5</v>
      </c>
      <c r="B223" s="224"/>
      <c r="C223" s="223" t="s">
        <v>6</v>
      </c>
      <c r="D223" s="224"/>
      <c r="E223" s="224"/>
      <c r="F223" s="224"/>
      <c r="G223" s="224"/>
      <c r="H223" s="225"/>
      <c r="I223" s="226" t="s">
        <v>7</v>
      </c>
      <c r="J223" s="227"/>
      <c r="K223" s="233" t="s">
        <v>309</v>
      </c>
      <c r="L223" s="236" t="s">
        <v>9</v>
      </c>
      <c r="O223" s="8"/>
      <c r="P223" s="8"/>
      <c r="Q223" s="8"/>
      <c r="R223" s="8"/>
      <c r="S223" s="8"/>
      <c r="T223" s="8"/>
      <c r="U223" s="8"/>
      <c r="V223" s="8"/>
      <c r="W223" s="3"/>
      <c r="X223" s="3"/>
      <c r="Y223" s="3"/>
    </row>
    <row r="224" spans="1:42" ht="56.15" customHeight="1" x14ac:dyDescent="0.6">
      <c r="A224" s="223" t="s">
        <v>10</v>
      </c>
      <c r="B224" s="224"/>
      <c r="C224" s="229" t="s">
        <v>11</v>
      </c>
      <c r="D224" s="242" t="s">
        <v>310</v>
      </c>
      <c r="E224" s="223" t="s">
        <v>313</v>
      </c>
      <c r="F224" s="224"/>
      <c r="G224" s="225"/>
      <c r="H224" s="239" t="s">
        <v>315</v>
      </c>
      <c r="I224" s="240" t="s">
        <v>14</v>
      </c>
      <c r="J224" s="240" t="s">
        <v>15</v>
      </c>
      <c r="K224" s="234"/>
      <c r="L224" s="237"/>
      <c r="O224" s="8"/>
      <c r="P224" s="8"/>
      <c r="Q224" s="8"/>
      <c r="R224" s="8"/>
      <c r="S224" s="8"/>
      <c r="T224" s="8"/>
      <c r="U224" s="8"/>
      <c r="V224" s="8"/>
      <c r="W224" s="3"/>
      <c r="X224" s="3"/>
      <c r="Y224" s="3"/>
    </row>
    <row r="225" spans="1:42" ht="97.5" customHeight="1" x14ac:dyDescent="0.6">
      <c r="A225" s="16" t="s">
        <v>16</v>
      </c>
      <c r="B225" s="16" t="s">
        <v>17</v>
      </c>
      <c r="C225" s="230"/>
      <c r="D225" s="243"/>
      <c r="E225" s="16" t="s">
        <v>311</v>
      </c>
      <c r="F225" s="16" t="s">
        <v>312</v>
      </c>
      <c r="G225" s="16" t="s">
        <v>314</v>
      </c>
      <c r="H225" s="239"/>
      <c r="I225" s="241"/>
      <c r="J225" s="241"/>
      <c r="K225" s="235"/>
      <c r="L225" s="238"/>
      <c r="O225" s="8"/>
      <c r="P225" s="8"/>
      <c r="Q225" s="8"/>
      <c r="R225" s="8"/>
      <c r="S225" s="8"/>
      <c r="T225" s="8"/>
      <c r="U225" s="8"/>
      <c r="V225" s="8"/>
      <c r="W225" s="3"/>
      <c r="X225" s="3"/>
      <c r="Y225" s="3"/>
      <c r="AP225" s="1" t="s">
        <v>18</v>
      </c>
    </row>
    <row r="226" spans="1:42" ht="52" x14ac:dyDescent="0.6">
      <c r="A226" s="30">
        <v>16</v>
      </c>
      <c r="B226" s="32" t="s">
        <v>151</v>
      </c>
      <c r="C226" s="103">
        <v>105000</v>
      </c>
      <c r="D226" s="104">
        <v>0</v>
      </c>
      <c r="E226" s="103">
        <v>0</v>
      </c>
      <c r="F226" s="146">
        <f>(220*16)</f>
        <v>3520</v>
      </c>
      <c r="G226" s="146">
        <f>E226+F226</f>
        <v>3520</v>
      </c>
      <c r="H226" s="18">
        <f>IFERROR(D226/C226*100-100,0)</f>
        <v>-100</v>
      </c>
      <c r="I226" s="9">
        <v>0</v>
      </c>
      <c r="J226" s="10">
        <f>IFERROR(I226/#REF!*100,)</f>
        <v>0</v>
      </c>
      <c r="K226" s="28" t="s">
        <v>19</v>
      </c>
      <c r="L226" s="94" t="s">
        <v>19</v>
      </c>
      <c r="O226" s="8"/>
      <c r="P226" s="2"/>
      <c r="Q226" s="3"/>
      <c r="R226" s="3"/>
      <c r="S226" s="3"/>
      <c r="T226" s="3"/>
      <c r="U226" s="3"/>
      <c r="V226" s="3"/>
      <c r="W226" s="3"/>
      <c r="X226" s="3"/>
      <c r="Y226" s="3"/>
      <c r="AP226" s="1" t="s">
        <v>20</v>
      </c>
    </row>
    <row r="227" spans="1:42" ht="57" customHeight="1" x14ac:dyDescent="0.6">
      <c r="A227" s="37">
        <v>16</v>
      </c>
      <c r="B227" s="32" t="s">
        <v>262</v>
      </c>
      <c r="C227" s="103">
        <v>33569.42</v>
      </c>
      <c r="D227" s="104">
        <v>0</v>
      </c>
      <c r="E227" s="103">
        <v>0</v>
      </c>
      <c r="F227" s="146">
        <v>71572.320000000007</v>
      </c>
      <c r="G227" s="146">
        <f t="shared" ref="G227:G231" si="23">E227+F227</f>
        <v>71572.320000000007</v>
      </c>
      <c r="H227" s="18">
        <f>IFERROR(D227/C227*100-100,0)</f>
        <v>-100</v>
      </c>
      <c r="I227" s="9">
        <v>0</v>
      </c>
      <c r="J227" s="10">
        <v>0</v>
      </c>
      <c r="K227" s="28" t="s">
        <v>19</v>
      </c>
      <c r="L227" s="94" t="s">
        <v>19</v>
      </c>
      <c r="O227" s="8"/>
      <c r="P227" s="2"/>
      <c r="Q227" s="3"/>
      <c r="R227" s="3"/>
      <c r="S227" s="3"/>
      <c r="T227" s="3"/>
      <c r="U227" s="3"/>
      <c r="V227" s="3"/>
      <c r="W227" s="3"/>
      <c r="X227" s="3"/>
      <c r="Y227" s="3"/>
    </row>
    <row r="228" spans="1:42" ht="57" customHeight="1" x14ac:dyDescent="0.6">
      <c r="A228" s="37">
        <v>16</v>
      </c>
      <c r="B228" s="32" t="s">
        <v>261</v>
      </c>
      <c r="C228" s="103">
        <v>0</v>
      </c>
      <c r="D228" s="104">
        <v>0</v>
      </c>
      <c r="E228" s="104">
        <v>0</v>
      </c>
      <c r="F228" s="146">
        <v>40515.040000000001</v>
      </c>
      <c r="G228" s="146">
        <f t="shared" si="23"/>
        <v>40515.040000000001</v>
      </c>
      <c r="H228" s="18">
        <f>IFERROR(D228/C228*100-100,0)</f>
        <v>0</v>
      </c>
      <c r="I228" s="9">
        <v>0</v>
      </c>
      <c r="J228" s="10">
        <v>0</v>
      </c>
      <c r="K228" s="28" t="s">
        <v>19</v>
      </c>
      <c r="L228" s="94" t="s">
        <v>19</v>
      </c>
      <c r="O228" s="8"/>
      <c r="P228" s="2"/>
      <c r="Q228" s="3"/>
      <c r="R228" s="3"/>
      <c r="S228" s="3"/>
      <c r="T228" s="3"/>
      <c r="U228" s="3"/>
      <c r="V228" s="3"/>
      <c r="W228" s="3"/>
      <c r="X228" s="3"/>
      <c r="Y228" s="3"/>
    </row>
    <row r="229" spans="1:42" ht="57" customHeight="1" x14ac:dyDescent="0.6">
      <c r="A229" s="37">
        <v>16</v>
      </c>
      <c r="B229" s="32" t="s">
        <v>260</v>
      </c>
      <c r="C229" s="103">
        <v>0</v>
      </c>
      <c r="D229" s="104">
        <v>0</v>
      </c>
      <c r="E229" s="104">
        <v>0</v>
      </c>
      <c r="F229" s="146">
        <v>25631.52</v>
      </c>
      <c r="G229" s="146">
        <f t="shared" si="23"/>
        <v>25631.52</v>
      </c>
      <c r="H229" s="18">
        <f t="shared" ref="H229:H231" si="24">IFERROR(D229/C229*100-100,0)</f>
        <v>0</v>
      </c>
      <c r="I229" s="9">
        <v>0</v>
      </c>
      <c r="J229" s="10">
        <v>0</v>
      </c>
      <c r="K229" s="28" t="s">
        <v>19</v>
      </c>
      <c r="L229" s="94" t="s">
        <v>19</v>
      </c>
      <c r="O229" s="8"/>
      <c r="P229" s="2"/>
      <c r="Q229" s="3"/>
      <c r="R229" s="3"/>
      <c r="S229" s="3"/>
      <c r="T229" s="3"/>
      <c r="U229" s="3"/>
      <c r="V229" s="3"/>
      <c r="W229" s="3"/>
      <c r="X229" s="3"/>
      <c r="Y229" s="3"/>
    </row>
    <row r="230" spans="1:42" ht="57" customHeight="1" x14ac:dyDescent="0.6">
      <c r="A230" s="37">
        <v>16</v>
      </c>
      <c r="B230" s="32" t="s">
        <v>258</v>
      </c>
      <c r="C230" s="103">
        <v>0</v>
      </c>
      <c r="D230" s="104">
        <v>0</v>
      </c>
      <c r="E230" s="104">
        <v>0</v>
      </c>
      <c r="F230" s="146">
        <f>220*16</f>
        <v>3520</v>
      </c>
      <c r="G230" s="146">
        <f t="shared" si="23"/>
        <v>3520</v>
      </c>
      <c r="H230" s="18">
        <f t="shared" si="24"/>
        <v>0</v>
      </c>
      <c r="I230" s="9">
        <v>0</v>
      </c>
      <c r="J230" s="10">
        <v>0</v>
      </c>
      <c r="K230" s="28" t="s">
        <v>19</v>
      </c>
      <c r="L230" s="94" t="s">
        <v>19</v>
      </c>
      <c r="O230" s="8"/>
      <c r="P230" s="2"/>
      <c r="Q230" s="3"/>
      <c r="R230" s="3"/>
      <c r="S230" s="3"/>
      <c r="T230" s="3"/>
      <c r="U230" s="3"/>
      <c r="V230" s="3"/>
      <c r="W230" s="3"/>
      <c r="X230" s="3"/>
      <c r="Y230" s="3"/>
    </row>
    <row r="231" spans="1:42" ht="52" x14ac:dyDescent="0.6">
      <c r="A231" s="37">
        <v>16</v>
      </c>
      <c r="B231" s="32" t="s">
        <v>259</v>
      </c>
      <c r="C231" s="107">
        <v>30000</v>
      </c>
      <c r="D231" s="104">
        <v>0</v>
      </c>
      <c r="E231" s="104">
        <v>0</v>
      </c>
      <c r="F231" s="146">
        <v>3520</v>
      </c>
      <c r="G231" s="146">
        <f t="shared" si="23"/>
        <v>3520</v>
      </c>
      <c r="H231" s="18">
        <f t="shared" si="24"/>
        <v>-100</v>
      </c>
      <c r="I231" s="9">
        <v>0</v>
      </c>
      <c r="J231" s="10">
        <f>IFERROR(I231/#REF!*100,)</f>
        <v>0</v>
      </c>
      <c r="K231" s="28" t="s">
        <v>19</v>
      </c>
      <c r="L231" s="94" t="s">
        <v>19</v>
      </c>
      <c r="M231" s="48"/>
    </row>
    <row r="232" spans="1:42" ht="52" hidden="1" x14ac:dyDescent="0.6">
      <c r="A232" s="90"/>
      <c r="B232" s="32" t="s">
        <v>257</v>
      </c>
      <c r="C232" s="105">
        <v>20000</v>
      </c>
      <c r="D232" s="105">
        <v>0</v>
      </c>
      <c r="E232" s="105">
        <v>0</v>
      </c>
      <c r="F232" s="110">
        <v>0</v>
      </c>
      <c r="G232" s="110"/>
      <c r="H232" s="76">
        <f>IFERROR(D232/C232*100-100,0)</f>
        <v>-100</v>
      </c>
      <c r="I232" s="77"/>
      <c r="J232" s="78"/>
      <c r="K232" s="79" t="s">
        <v>19</v>
      </c>
      <c r="L232" s="97" t="s">
        <v>19</v>
      </c>
      <c r="M232" s="48"/>
    </row>
    <row r="233" spans="1:42" s="12" customFormat="1" ht="56.15" customHeight="1" x14ac:dyDescent="0.35">
      <c r="A233" s="228" t="s">
        <v>25</v>
      </c>
      <c r="B233" s="228"/>
      <c r="C233" s="91">
        <f>SUM(C226:C232)</f>
        <v>188569.41999999998</v>
      </c>
      <c r="D233" s="91">
        <f>SUM(D226:D232)</f>
        <v>0</v>
      </c>
      <c r="E233" s="91">
        <f>SUM(E226:E232)</f>
        <v>0</v>
      </c>
      <c r="F233" s="91">
        <f>SUM(F226:F232)</f>
        <v>148278.88</v>
      </c>
      <c r="G233" s="91">
        <f>SUM(G226:G231)</f>
        <v>148278.88</v>
      </c>
      <c r="H233" s="19">
        <f>IFERROR(D233/C233*100-100,0)</f>
        <v>-100</v>
      </c>
      <c r="I233" s="19">
        <f>SUM(I226:I231)</f>
        <v>0</v>
      </c>
      <c r="J233" s="19">
        <f>IFERROR(I233/#REF!*100,)</f>
        <v>0</v>
      </c>
      <c r="K233" s="36"/>
      <c r="L233" s="96">
        <f>SUM(L226:L231)</f>
        <v>0</v>
      </c>
      <c r="M233" s="55"/>
    </row>
    <row r="234" spans="1:42" ht="55.9" customHeight="1" x14ac:dyDescent="0.6">
      <c r="A234" s="244"/>
      <c r="B234" s="244"/>
      <c r="C234" s="244"/>
      <c r="D234" s="244"/>
      <c r="E234" s="244"/>
      <c r="F234" s="244"/>
      <c r="G234" s="244"/>
      <c r="H234" s="244"/>
      <c r="I234" s="245"/>
      <c r="J234" s="245"/>
    </row>
    <row r="235" spans="1:42" ht="97.5" customHeight="1" x14ac:dyDescent="0.6">
      <c r="A235" s="220" t="s">
        <v>1</v>
      </c>
      <c r="B235" s="221"/>
      <c r="C235" s="222" t="s">
        <v>86</v>
      </c>
      <c r="D235" s="222"/>
      <c r="E235" s="222"/>
      <c r="F235" s="222"/>
      <c r="G235" s="222"/>
      <c r="H235" s="222"/>
      <c r="I235" s="159"/>
      <c r="J235" s="159"/>
      <c r="P235" s="2"/>
      <c r="Q235" s="3"/>
      <c r="R235" s="3"/>
      <c r="S235" s="3"/>
      <c r="T235" s="3"/>
      <c r="U235" s="3"/>
      <c r="V235" s="3"/>
      <c r="W235" s="3"/>
      <c r="X235" s="3"/>
      <c r="Y235" s="3"/>
    </row>
    <row r="236" spans="1:42" ht="97.5" customHeight="1" x14ac:dyDescent="0.6">
      <c r="A236" s="221" t="s">
        <v>3</v>
      </c>
      <c r="B236" s="221"/>
      <c r="C236" s="222" t="s">
        <v>35</v>
      </c>
      <c r="D236" s="222"/>
      <c r="E236" s="222"/>
      <c r="F236" s="222"/>
      <c r="G236" s="222"/>
      <c r="H236" s="222"/>
      <c r="I236" s="160"/>
      <c r="J236" s="160"/>
      <c r="X236" s="3"/>
      <c r="Y236" s="3"/>
    </row>
    <row r="237" spans="1:42" s="6" customFormat="1" ht="49.5" customHeight="1" x14ac:dyDescent="0.6">
      <c r="A237" s="20"/>
      <c r="B237" s="4"/>
      <c r="C237" s="106"/>
      <c r="D237" s="106"/>
      <c r="E237" s="106"/>
      <c r="F237" s="106"/>
      <c r="G237" s="106"/>
      <c r="H237" s="5"/>
      <c r="I237" s="155"/>
      <c r="J237" s="155"/>
      <c r="K237" s="27"/>
      <c r="L237" s="95"/>
      <c r="P237" s="7"/>
      <c r="Q237" s="8"/>
      <c r="R237" s="8"/>
      <c r="S237" s="8"/>
      <c r="T237" s="8"/>
      <c r="U237" s="8"/>
      <c r="V237" s="8"/>
      <c r="W237" s="8"/>
      <c r="X237" s="8"/>
      <c r="Y237" s="8"/>
    </row>
    <row r="238" spans="1:42" ht="97.5" customHeight="1" x14ac:dyDescent="0.6">
      <c r="A238" s="223" t="s">
        <v>5</v>
      </c>
      <c r="B238" s="224"/>
      <c r="C238" s="223" t="s">
        <v>6</v>
      </c>
      <c r="D238" s="224"/>
      <c r="E238" s="224"/>
      <c r="F238" s="224"/>
      <c r="G238" s="224"/>
      <c r="H238" s="225"/>
      <c r="I238" s="226" t="s">
        <v>7</v>
      </c>
      <c r="J238" s="227"/>
      <c r="K238" s="233" t="s">
        <v>309</v>
      </c>
      <c r="L238" s="236" t="s">
        <v>9</v>
      </c>
      <c r="O238" s="8"/>
      <c r="P238" s="8"/>
      <c r="Q238" s="8"/>
      <c r="R238" s="8"/>
      <c r="S238" s="8"/>
      <c r="T238" s="8"/>
      <c r="U238" s="8"/>
      <c r="V238" s="8"/>
      <c r="W238" s="3"/>
      <c r="X238" s="3"/>
      <c r="Y238" s="3"/>
    </row>
    <row r="239" spans="1:42" ht="56.15" customHeight="1" x14ac:dyDescent="0.6">
      <c r="A239" s="223" t="s">
        <v>10</v>
      </c>
      <c r="B239" s="224"/>
      <c r="C239" s="229" t="s">
        <v>11</v>
      </c>
      <c r="D239" s="242" t="s">
        <v>310</v>
      </c>
      <c r="E239" s="223" t="s">
        <v>313</v>
      </c>
      <c r="F239" s="224"/>
      <c r="G239" s="225"/>
      <c r="H239" s="239" t="s">
        <v>315</v>
      </c>
      <c r="I239" s="240" t="s">
        <v>14</v>
      </c>
      <c r="J239" s="240" t="s">
        <v>15</v>
      </c>
      <c r="K239" s="234"/>
      <c r="L239" s="237"/>
      <c r="O239" s="8"/>
      <c r="P239" s="8"/>
      <c r="Q239" s="8"/>
      <c r="R239" s="8"/>
      <c r="S239" s="8"/>
      <c r="T239" s="8"/>
      <c r="U239" s="8"/>
      <c r="V239" s="8"/>
      <c r="W239" s="3"/>
      <c r="X239" s="3"/>
      <c r="Y239" s="3"/>
    </row>
    <row r="240" spans="1:42" ht="97.5" customHeight="1" x14ac:dyDescent="0.6">
      <c r="A240" s="16" t="s">
        <v>16</v>
      </c>
      <c r="B240" s="16" t="s">
        <v>17</v>
      </c>
      <c r="C240" s="230"/>
      <c r="D240" s="243"/>
      <c r="E240" s="16" t="s">
        <v>311</v>
      </c>
      <c r="F240" s="16" t="s">
        <v>312</v>
      </c>
      <c r="G240" s="16" t="s">
        <v>314</v>
      </c>
      <c r="H240" s="239"/>
      <c r="I240" s="241"/>
      <c r="J240" s="241"/>
      <c r="K240" s="235"/>
      <c r="L240" s="238"/>
      <c r="O240" s="8"/>
      <c r="P240" s="8"/>
      <c r="Q240" s="8"/>
      <c r="R240" s="8"/>
      <c r="S240" s="8"/>
      <c r="T240" s="8"/>
      <c r="U240" s="8"/>
      <c r="V240" s="8"/>
      <c r="W240" s="3"/>
      <c r="X240" s="3"/>
      <c r="Y240" s="3"/>
      <c r="AP240" s="1" t="s">
        <v>18</v>
      </c>
    </row>
    <row r="241" spans="1:42" ht="104" x14ac:dyDescent="0.6">
      <c r="A241" s="38">
        <v>1</v>
      </c>
      <c r="B241" s="25" t="s">
        <v>345</v>
      </c>
      <c r="C241" s="107">
        <v>518068.88</v>
      </c>
      <c r="D241" s="103">
        <v>578475.49</v>
      </c>
      <c r="E241" s="103">
        <v>178696.2</v>
      </c>
      <c r="F241" s="111">
        <v>305686.76</v>
      </c>
      <c r="G241" s="111">
        <f>E241+F241</f>
        <v>484382.96</v>
      </c>
      <c r="H241" s="18">
        <f>IFERROR(D241/C241*100-100,0)</f>
        <v>11.659957262825742</v>
      </c>
      <c r="I241" s="9">
        <v>0</v>
      </c>
      <c r="J241" s="10">
        <f>IFERROR(I241/#REF!*100,)</f>
        <v>0</v>
      </c>
      <c r="K241" s="28" t="s">
        <v>19</v>
      </c>
      <c r="L241" s="94" t="s">
        <v>19</v>
      </c>
      <c r="O241" s="8"/>
      <c r="P241" s="2"/>
      <c r="Q241" s="3"/>
      <c r="R241" s="3"/>
      <c r="S241" s="3"/>
      <c r="T241" s="3"/>
      <c r="U241" s="3"/>
      <c r="V241" s="3"/>
      <c r="W241" s="3"/>
      <c r="X241" s="3"/>
      <c r="Y241" s="3"/>
      <c r="AP241" s="1" t="s">
        <v>20</v>
      </c>
    </row>
    <row r="242" spans="1:42" ht="78" x14ac:dyDescent="0.6">
      <c r="A242" s="38">
        <v>1</v>
      </c>
      <c r="B242" s="25" t="s">
        <v>346</v>
      </c>
      <c r="C242" s="107">
        <v>10000</v>
      </c>
      <c r="D242" s="104">
        <v>10000</v>
      </c>
      <c r="E242" s="104">
        <v>1002</v>
      </c>
      <c r="F242" s="146">
        <f>(167*8)+3664</f>
        <v>5000</v>
      </c>
      <c r="G242" s="111">
        <f t="shared" ref="G242:G243" si="25">E242+F242</f>
        <v>6002</v>
      </c>
      <c r="H242" s="18">
        <f>IFERROR(D242/C242*100-100,0)</f>
        <v>0</v>
      </c>
      <c r="I242" s="9">
        <v>0</v>
      </c>
      <c r="J242" s="10">
        <f>IFERROR(I242/#REF!*100,)</f>
        <v>0</v>
      </c>
      <c r="K242" s="28" t="s">
        <v>19</v>
      </c>
      <c r="L242" s="94" t="s">
        <v>19</v>
      </c>
      <c r="M242" s="1" t="s">
        <v>287</v>
      </c>
      <c r="P242" s="3"/>
      <c r="Q242" s="3"/>
      <c r="R242" s="3"/>
      <c r="S242" s="3"/>
      <c r="T242" s="3"/>
      <c r="U242" s="3"/>
      <c r="V242" s="3"/>
      <c r="W242" s="3"/>
      <c r="X242" s="3"/>
      <c r="Y242" s="3"/>
    </row>
    <row r="243" spans="1:42" ht="78" x14ac:dyDescent="0.6">
      <c r="A243" s="38">
        <v>1</v>
      </c>
      <c r="B243" s="32" t="s">
        <v>344</v>
      </c>
      <c r="C243" s="103">
        <v>80000</v>
      </c>
      <c r="D243" s="103">
        <v>63600</v>
      </c>
      <c r="E243" s="103">
        <v>9925.93</v>
      </c>
      <c r="F243" s="111">
        <f>(3000*8)+(150*8)+(300*8)</f>
        <v>27600</v>
      </c>
      <c r="G243" s="111">
        <f t="shared" si="25"/>
        <v>37525.93</v>
      </c>
      <c r="H243" s="18">
        <f>IFERROR(D243/C243*100-100,0)</f>
        <v>-20.5</v>
      </c>
      <c r="I243" s="9">
        <v>0</v>
      </c>
      <c r="J243" s="10">
        <f>IFERROR(I243/#REF!*100,)</f>
        <v>0</v>
      </c>
      <c r="K243" s="28" t="s">
        <v>19</v>
      </c>
      <c r="L243" s="94" t="s">
        <v>19</v>
      </c>
      <c r="M243" s="1" t="s">
        <v>285</v>
      </c>
      <c r="P243" s="11"/>
    </row>
    <row r="244" spans="1:42" s="12" customFormat="1" ht="56.15" customHeight="1" x14ac:dyDescent="0.35">
      <c r="A244" s="228" t="s">
        <v>25</v>
      </c>
      <c r="B244" s="228"/>
      <c r="C244" s="91">
        <f>SUM(C241:C243)</f>
        <v>608068.88</v>
      </c>
      <c r="D244" s="91">
        <f>SUM(D241:D243)</f>
        <v>652075.49</v>
      </c>
      <c r="E244" s="91">
        <f>SUM(E241:E243)</f>
        <v>189624.13</v>
      </c>
      <c r="F244" s="91">
        <f>SUM(F241:F243)</f>
        <v>338286.76</v>
      </c>
      <c r="G244" s="91">
        <f>SUM(G241:G243)</f>
        <v>527910.89</v>
      </c>
      <c r="H244" s="19">
        <f>IFERROR(D244/C244*100-100,0)</f>
        <v>7.2371093880022102</v>
      </c>
      <c r="I244" s="19">
        <f>SUM(I241:I243)</f>
        <v>0</v>
      </c>
      <c r="J244" s="19">
        <f>IFERROR(I244/#REF!*100,)</f>
        <v>0</v>
      </c>
      <c r="K244" s="36"/>
      <c r="L244" s="96">
        <f>SUM(L241:L243)</f>
        <v>0</v>
      </c>
      <c r="M244" s="55"/>
    </row>
    <row r="245" spans="1:42" ht="55.9" customHeight="1" x14ac:dyDescent="0.6">
      <c r="A245" s="244"/>
      <c r="B245" s="244"/>
      <c r="C245" s="244"/>
      <c r="D245" s="244"/>
      <c r="E245" s="244"/>
      <c r="F245" s="244"/>
      <c r="G245" s="244"/>
      <c r="H245" s="244"/>
      <c r="I245" s="245"/>
      <c r="J245" s="245"/>
    </row>
    <row r="246" spans="1:42" ht="55" customHeight="1" x14ac:dyDescent="0.6">
      <c r="A246" s="220" t="s">
        <v>1</v>
      </c>
      <c r="B246" s="221"/>
      <c r="C246" s="222" t="s">
        <v>143</v>
      </c>
      <c r="D246" s="222"/>
      <c r="E246" s="222"/>
      <c r="F246" s="222"/>
      <c r="G246" s="222"/>
      <c r="H246" s="222"/>
      <c r="I246" s="159"/>
      <c r="J246" s="159"/>
    </row>
    <row r="247" spans="1:42" ht="94" customHeight="1" x14ac:dyDescent="0.6">
      <c r="A247" s="221" t="s">
        <v>3</v>
      </c>
      <c r="B247" s="221"/>
      <c r="C247" s="222" t="s">
        <v>35</v>
      </c>
      <c r="D247" s="222"/>
      <c r="E247" s="222"/>
      <c r="F247" s="222"/>
      <c r="G247" s="222"/>
      <c r="H247" s="222"/>
      <c r="I247" s="160"/>
      <c r="J247" s="160"/>
    </row>
    <row r="248" spans="1:42" x14ac:dyDescent="0.6">
      <c r="A248" s="20"/>
      <c r="B248" s="4"/>
      <c r="C248" s="106"/>
      <c r="D248" s="106"/>
      <c r="E248" s="106"/>
      <c r="F248" s="106"/>
      <c r="G248" s="106"/>
      <c r="H248" s="5"/>
      <c r="I248" s="155"/>
      <c r="J248" s="155"/>
      <c r="K248" s="27"/>
      <c r="L248" s="95"/>
    </row>
    <row r="249" spans="1:42" ht="26" customHeight="1" x14ac:dyDescent="0.6">
      <c r="A249" s="223" t="s">
        <v>5</v>
      </c>
      <c r="B249" s="224"/>
      <c r="C249" s="223" t="s">
        <v>6</v>
      </c>
      <c r="D249" s="224"/>
      <c r="E249" s="224"/>
      <c r="F249" s="224"/>
      <c r="G249" s="224"/>
      <c r="H249" s="225"/>
      <c r="I249" s="226" t="s">
        <v>7</v>
      </c>
      <c r="J249" s="227"/>
      <c r="K249" s="233" t="s">
        <v>309</v>
      </c>
      <c r="L249" s="236" t="s">
        <v>9</v>
      </c>
    </row>
    <row r="250" spans="1:42" ht="26" customHeight="1" x14ac:dyDescent="0.6">
      <c r="A250" s="223" t="s">
        <v>10</v>
      </c>
      <c r="B250" s="224"/>
      <c r="C250" s="229" t="s">
        <v>11</v>
      </c>
      <c r="D250" s="242" t="s">
        <v>310</v>
      </c>
      <c r="E250" s="223" t="s">
        <v>313</v>
      </c>
      <c r="F250" s="224"/>
      <c r="G250" s="225"/>
      <c r="H250" s="239" t="s">
        <v>315</v>
      </c>
      <c r="I250" s="240" t="s">
        <v>14</v>
      </c>
      <c r="J250" s="240" t="s">
        <v>15</v>
      </c>
      <c r="K250" s="234"/>
      <c r="L250" s="237"/>
    </row>
    <row r="251" spans="1:42" ht="78" x14ac:dyDescent="0.6">
      <c r="A251" s="16" t="s">
        <v>16</v>
      </c>
      <c r="B251" s="16" t="s">
        <v>17</v>
      </c>
      <c r="C251" s="230"/>
      <c r="D251" s="243"/>
      <c r="E251" s="16" t="s">
        <v>311</v>
      </c>
      <c r="F251" s="16" t="s">
        <v>312</v>
      </c>
      <c r="G251" s="16" t="s">
        <v>314</v>
      </c>
      <c r="H251" s="239"/>
      <c r="I251" s="241"/>
      <c r="J251" s="241"/>
      <c r="K251" s="235"/>
      <c r="L251" s="238"/>
    </row>
    <row r="252" spans="1:42" ht="52" x14ac:dyDescent="0.6">
      <c r="A252" s="216">
        <v>1</v>
      </c>
      <c r="B252" s="17" t="s">
        <v>142</v>
      </c>
      <c r="C252" s="104">
        <v>0</v>
      </c>
      <c r="D252" s="104">
        <v>150000</v>
      </c>
      <c r="E252" s="104">
        <v>0</v>
      </c>
      <c r="F252" s="146">
        <f>D252</f>
        <v>150000</v>
      </c>
      <c r="G252" s="146">
        <f>E252+F252</f>
        <v>150000</v>
      </c>
      <c r="H252" s="18">
        <f>IFERROR(D252/C252*100-100,0)</f>
        <v>0</v>
      </c>
      <c r="I252" s="9">
        <v>0</v>
      </c>
      <c r="J252" s="10">
        <f>IFERROR(I252/#REF!*100,)</f>
        <v>0</v>
      </c>
      <c r="K252" s="28"/>
      <c r="L252" s="94">
        <f>D252</f>
        <v>150000</v>
      </c>
    </row>
    <row r="253" spans="1:42" x14ac:dyDescent="0.6">
      <c r="A253" s="258" t="s">
        <v>25</v>
      </c>
      <c r="B253" s="258"/>
      <c r="C253" s="199">
        <f>SUM(C252:C252)</f>
        <v>0</v>
      </c>
      <c r="D253" s="199">
        <f>SUM(D252:D252)</f>
        <v>150000</v>
      </c>
      <c r="E253" s="199">
        <f>SUM(E252)</f>
        <v>0</v>
      </c>
      <c r="F253" s="199">
        <f>SUM(F252)</f>
        <v>150000</v>
      </c>
      <c r="G253" s="199">
        <f>SUM(G252)</f>
        <v>150000</v>
      </c>
      <c r="H253" s="200">
        <f>IFERROR(D253/C253*100-100,0)</f>
        <v>0</v>
      </c>
      <c r="I253" s="200">
        <f>SUM(I252:I252)</f>
        <v>0</v>
      </c>
      <c r="J253" s="200">
        <f>IFERROR(I253/#REF!*100,)</f>
        <v>0</v>
      </c>
      <c r="K253" s="36">
        <v>0</v>
      </c>
      <c r="L253" s="96">
        <f>SUM(L252:L252)</f>
        <v>150000</v>
      </c>
    </row>
    <row r="254" spans="1:42" ht="56.15" customHeight="1" x14ac:dyDescent="0.6">
      <c r="A254" s="257"/>
      <c r="B254" s="257"/>
      <c r="C254" s="257"/>
      <c r="D254" s="257"/>
      <c r="E254" s="257"/>
      <c r="F254" s="257"/>
      <c r="G254" s="257"/>
      <c r="H254" s="257"/>
      <c r="I254" s="257"/>
      <c r="J254" s="257"/>
      <c r="M254" s="14"/>
      <c r="N254" s="6"/>
    </row>
    <row r="255" spans="1:42" ht="49.5" hidden="1" customHeight="1" x14ac:dyDescent="0.6">
      <c r="A255" s="201"/>
      <c r="B255" s="202"/>
      <c r="C255" s="203"/>
      <c r="D255" s="203"/>
      <c r="E255" s="203"/>
      <c r="F255" s="203"/>
      <c r="G255" s="203"/>
      <c r="H255" s="204"/>
      <c r="I255" s="204"/>
      <c r="J255" s="204"/>
      <c r="K255" s="82"/>
      <c r="L255" s="98"/>
      <c r="P255" s="2"/>
      <c r="Q255" s="3"/>
      <c r="R255" s="3"/>
      <c r="S255" s="3"/>
      <c r="T255" s="3"/>
      <c r="U255" s="3"/>
      <c r="V255" s="3"/>
      <c r="W255" s="3"/>
      <c r="X255" s="3"/>
      <c r="Y255" s="3"/>
    </row>
    <row r="256" spans="1:42" ht="97.5" hidden="1" customHeight="1" x14ac:dyDescent="0.6">
      <c r="A256" s="265" t="s">
        <v>5</v>
      </c>
      <c r="B256" s="267"/>
      <c r="C256" s="265" t="s">
        <v>6</v>
      </c>
      <c r="D256" s="266"/>
      <c r="E256" s="266"/>
      <c r="F256" s="266"/>
      <c r="G256" s="266"/>
      <c r="H256" s="267"/>
      <c r="I256" s="268" t="s">
        <v>7</v>
      </c>
      <c r="J256" s="269"/>
      <c r="K256" s="270" t="s">
        <v>8</v>
      </c>
      <c r="L256" s="288" t="s">
        <v>9</v>
      </c>
      <c r="O256" s="3"/>
      <c r="P256" s="3"/>
      <c r="Q256" s="3"/>
      <c r="R256" s="3"/>
      <c r="S256" s="3"/>
      <c r="T256" s="3"/>
      <c r="U256" s="3"/>
      <c r="V256" s="3"/>
      <c r="W256" s="3"/>
      <c r="X256" s="3"/>
      <c r="Y256" s="3"/>
    </row>
    <row r="257" spans="1:42" ht="56.15" hidden="1" customHeight="1" x14ac:dyDescent="0.6">
      <c r="A257" s="265" t="s">
        <v>10</v>
      </c>
      <c r="B257" s="267"/>
      <c r="C257" s="288" t="s">
        <v>11</v>
      </c>
      <c r="D257" s="288" t="s">
        <v>12</v>
      </c>
      <c r="E257" s="121"/>
      <c r="F257" s="121"/>
      <c r="G257" s="121"/>
      <c r="H257" s="270" t="s">
        <v>13</v>
      </c>
      <c r="I257" s="279" t="s">
        <v>14</v>
      </c>
      <c r="J257" s="279" t="s">
        <v>15</v>
      </c>
      <c r="K257" s="271"/>
      <c r="L257" s="290"/>
      <c r="O257" s="3"/>
      <c r="P257" s="3"/>
      <c r="Q257" s="3"/>
      <c r="R257" s="3"/>
      <c r="S257" s="3"/>
      <c r="T257" s="3"/>
      <c r="U257" s="3"/>
      <c r="V257" s="3"/>
      <c r="W257" s="3"/>
      <c r="X257" s="3"/>
      <c r="Y257" s="3"/>
    </row>
    <row r="258" spans="1:42" ht="97.5" hidden="1" customHeight="1" x14ac:dyDescent="0.6">
      <c r="A258" s="86" t="s">
        <v>16</v>
      </c>
      <c r="B258" s="86" t="s">
        <v>17</v>
      </c>
      <c r="C258" s="289"/>
      <c r="D258" s="289"/>
      <c r="E258" s="122"/>
      <c r="F258" s="122"/>
      <c r="G258" s="122"/>
      <c r="H258" s="272"/>
      <c r="I258" s="280"/>
      <c r="J258" s="280"/>
      <c r="K258" s="272"/>
      <c r="L258" s="289"/>
      <c r="O258" s="3"/>
      <c r="P258" s="3"/>
      <c r="Q258" s="3"/>
      <c r="R258" s="3"/>
      <c r="S258" s="3"/>
      <c r="T258" s="3"/>
      <c r="U258" s="3"/>
      <c r="V258" s="3"/>
      <c r="W258" s="3"/>
      <c r="X258" s="3"/>
      <c r="Y258" s="3"/>
      <c r="AP258" s="1" t="s">
        <v>18</v>
      </c>
    </row>
    <row r="259" spans="1:42" ht="56.15" hidden="1" customHeight="1" x14ac:dyDescent="0.6">
      <c r="A259" s="74">
        <v>1</v>
      </c>
      <c r="B259" s="75" t="s">
        <v>51</v>
      </c>
      <c r="C259" s="110">
        <v>45000</v>
      </c>
      <c r="D259" s="105">
        <v>0</v>
      </c>
      <c r="E259" s="105"/>
      <c r="F259" s="105"/>
      <c r="G259" s="105"/>
      <c r="H259" s="76">
        <f>IFERROR(D259/C259*100-100,0)</f>
        <v>-100</v>
      </c>
      <c r="I259" s="77"/>
      <c r="J259" s="78">
        <f>IFERROR(I259/#REF!*100,)</f>
        <v>0</v>
      </c>
      <c r="K259" s="79" t="s">
        <v>19</v>
      </c>
      <c r="L259" s="97" t="s">
        <v>19</v>
      </c>
    </row>
    <row r="260" spans="1:42" s="12" customFormat="1" ht="56.15" hidden="1" customHeight="1" x14ac:dyDescent="0.35">
      <c r="A260" s="263" t="s">
        <v>25</v>
      </c>
      <c r="B260" s="264"/>
      <c r="C260" s="92">
        <f>SUM(C259:C259)</f>
        <v>45000</v>
      </c>
      <c r="D260" s="92">
        <f>SUM(D259:D259)</f>
        <v>0</v>
      </c>
      <c r="E260" s="92"/>
      <c r="F260" s="92"/>
      <c r="G260" s="92"/>
      <c r="H260" s="87">
        <f>IFERROR(D260/C260*100-100,0)</f>
        <v>-100</v>
      </c>
      <c r="I260" s="162">
        <f>SUM(I259:I259)</f>
        <v>0</v>
      </c>
      <c r="J260" s="162">
        <f>IFERROR(I260/#REF!*100,)</f>
        <v>0</v>
      </c>
      <c r="K260" s="87"/>
      <c r="L260" s="99">
        <f>SUM(L259:L259)</f>
        <v>0</v>
      </c>
      <c r="M260" s="55"/>
    </row>
    <row r="261" spans="1:42" ht="97.5" customHeight="1" x14ac:dyDescent="0.6">
      <c r="A261" s="220" t="s">
        <v>1</v>
      </c>
      <c r="B261" s="221"/>
      <c r="C261" s="222" t="s">
        <v>68</v>
      </c>
      <c r="D261" s="222"/>
      <c r="E261" s="222"/>
      <c r="F261" s="222"/>
      <c r="G261" s="222"/>
      <c r="H261" s="222"/>
      <c r="I261" s="159"/>
      <c r="J261" s="159"/>
      <c r="P261" s="2"/>
      <c r="Q261" s="3"/>
      <c r="R261" s="3"/>
      <c r="S261" s="3"/>
      <c r="T261" s="3"/>
      <c r="U261" s="3"/>
      <c r="V261" s="3"/>
      <c r="W261" s="3"/>
      <c r="X261" s="3"/>
      <c r="Y261" s="3"/>
    </row>
    <row r="262" spans="1:42" ht="97.5" customHeight="1" x14ac:dyDescent="0.6">
      <c r="A262" s="221" t="s">
        <v>3</v>
      </c>
      <c r="B262" s="221"/>
      <c r="C262" s="222" t="s">
        <v>69</v>
      </c>
      <c r="D262" s="222"/>
      <c r="E262" s="222"/>
      <c r="F262" s="222"/>
      <c r="G262" s="222"/>
      <c r="H262" s="222"/>
      <c r="I262" s="160"/>
      <c r="J262" s="160"/>
      <c r="X262" s="3"/>
      <c r="Y262" s="3"/>
    </row>
    <row r="263" spans="1:42" s="6" customFormat="1" ht="49.5" customHeight="1" x14ac:dyDescent="0.6">
      <c r="A263" s="20"/>
      <c r="B263" s="4"/>
      <c r="C263" s="106"/>
      <c r="D263" s="106"/>
      <c r="E263" s="106"/>
      <c r="F263" s="106"/>
      <c r="G263" s="106"/>
      <c r="H263" s="5"/>
      <c r="I263" s="155"/>
      <c r="J263" s="155"/>
      <c r="K263" s="27"/>
      <c r="L263" s="95"/>
      <c r="P263" s="7"/>
      <c r="Q263" s="8"/>
      <c r="R263" s="8"/>
      <c r="S263" s="8"/>
      <c r="T263" s="8"/>
      <c r="U263" s="8"/>
      <c r="V263" s="8"/>
      <c r="W263" s="8"/>
      <c r="X263" s="8"/>
      <c r="Y263" s="8"/>
    </row>
    <row r="264" spans="1:42" ht="97.5" customHeight="1" x14ac:dyDescent="0.6">
      <c r="A264" s="223" t="s">
        <v>5</v>
      </c>
      <c r="B264" s="224"/>
      <c r="C264" s="223" t="s">
        <v>6</v>
      </c>
      <c r="D264" s="224"/>
      <c r="E264" s="224"/>
      <c r="F264" s="224"/>
      <c r="G264" s="224"/>
      <c r="H264" s="225"/>
      <c r="I264" s="226" t="s">
        <v>7</v>
      </c>
      <c r="J264" s="227"/>
      <c r="K264" s="233" t="s">
        <v>309</v>
      </c>
      <c r="L264" s="236" t="s">
        <v>9</v>
      </c>
      <c r="O264" s="8"/>
      <c r="P264" s="8"/>
      <c r="Q264" s="8"/>
      <c r="R264" s="8"/>
      <c r="S264" s="8"/>
      <c r="T264" s="8"/>
      <c r="U264" s="8"/>
      <c r="V264" s="8"/>
      <c r="W264" s="3"/>
      <c r="X264" s="3"/>
      <c r="Y264" s="3"/>
    </row>
    <row r="265" spans="1:42" ht="56.15" customHeight="1" x14ac:dyDescent="0.6">
      <c r="A265" s="223" t="s">
        <v>10</v>
      </c>
      <c r="B265" s="224"/>
      <c r="C265" s="229" t="s">
        <v>11</v>
      </c>
      <c r="D265" s="242" t="s">
        <v>310</v>
      </c>
      <c r="E265" s="223" t="s">
        <v>313</v>
      </c>
      <c r="F265" s="224"/>
      <c r="G265" s="225"/>
      <c r="H265" s="239" t="s">
        <v>315</v>
      </c>
      <c r="I265" s="240" t="s">
        <v>14</v>
      </c>
      <c r="J265" s="240" t="s">
        <v>15</v>
      </c>
      <c r="K265" s="234"/>
      <c r="L265" s="237"/>
      <c r="O265" s="8"/>
      <c r="P265" s="8"/>
      <c r="Q265" s="8"/>
      <c r="R265" s="8"/>
      <c r="S265" s="8"/>
      <c r="T265" s="8"/>
      <c r="U265" s="8"/>
      <c r="V265" s="8"/>
      <c r="W265" s="3"/>
      <c r="X265" s="3"/>
      <c r="Y265" s="3"/>
    </row>
    <row r="266" spans="1:42" ht="97.5" customHeight="1" x14ac:dyDescent="0.6">
      <c r="A266" s="16" t="s">
        <v>16</v>
      </c>
      <c r="B266" s="16" t="s">
        <v>17</v>
      </c>
      <c r="C266" s="230"/>
      <c r="D266" s="243"/>
      <c r="E266" s="16" t="s">
        <v>311</v>
      </c>
      <c r="F266" s="16" t="s">
        <v>312</v>
      </c>
      <c r="G266" s="16" t="s">
        <v>314</v>
      </c>
      <c r="H266" s="239"/>
      <c r="I266" s="241"/>
      <c r="J266" s="241"/>
      <c r="K266" s="235"/>
      <c r="L266" s="238"/>
      <c r="O266" s="8"/>
      <c r="P266" s="8"/>
      <c r="Q266" s="8"/>
      <c r="R266" s="8"/>
      <c r="S266" s="8"/>
      <c r="T266" s="8"/>
      <c r="U266" s="8"/>
      <c r="V266" s="8"/>
      <c r="W266" s="3"/>
      <c r="X266" s="3"/>
      <c r="Y266" s="3"/>
      <c r="AP266" s="1" t="s">
        <v>18</v>
      </c>
    </row>
    <row r="267" spans="1:42" ht="94.5" customHeight="1" x14ac:dyDescent="0.6">
      <c r="A267" s="33">
        <v>1</v>
      </c>
      <c r="B267" s="25" t="s">
        <v>347</v>
      </c>
      <c r="C267" s="107">
        <v>227231.13999999998</v>
      </c>
      <c r="D267" s="103">
        <v>279239.49</v>
      </c>
      <c r="E267" s="103">
        <v>85678.09</v>
      </c>
      <c r="F267" s="111">
        <v>193528</v>
      </c>
      <c r="G267" s="111">
        <f>E267+F267</f>
        <v>279206.08999999997</v>
      </c>
      <c r="H267" s="18">
        <f>IFERROR(D267/C267*100-100,0)</f>
        <v>22.887862112560825</v>
      </c>
      <c r="I267" s="9">
        <v>0</v>
      </c>
      <c r="J267" s="10">
        <f>IFERROR(I267/#REF!*100,)</f>
        <v>0</v>
      </c>
      <c r="K267" s="28" t="s">
        <v>19</v>
      </c>
      <c r="L267" s="94" t="s">
        <v>19</v>
      </c>
      <c r="M267" s="49"/>
      <c r="N267" s="49"/>
      <c r="O267" s="8"/>
      <c r="P267" s="2"/>
      <c r="Q267" s="3"/>
      <c r="R267" s="3"/>
      <c r="S267" s="3"/>
      <c r="T267" s="3"/>
      <c r="U267" s="3"/>
      <c r="V267" s="3"/>
      <c r="W267" s="3"/>
      <c r="X267" s="3"/>
      <c r="Y267" s="3"/>
      <c r="AP267" s="1" t="s">
        <v>20</v>
      </c>
    </row>
    <row r="268" spans="1:42" ht="78" customHeight="1" x14ac:dyDescent="0.6">
      <c r="A268" s="46">
        <v>1</v>
      </c>
      <c r="B268" s="64" t="s">
        <v>348</v>
      </c>
      <c r="C268" s="103">
        <v>18830.09</v>
      </c>
      <c r="D268" s="103">
        <v>35000</v>
      </c>
      <c r="E268" s="103">
        <f>4438.49</f>
        <v>4438.49</v>
      </c>
      <c r="F268" s="111">
        <f>(D268-E268)</f>
        <v>30561.510000000002</v>
      </c>
      <c r="G268" s="111">
        <f t="shared" ref="G268:G269" si="26">E268+F268</f>
        <v>35000</v>
      </c>
      <c r="H268" s="18">
        <f>IFERROR(D268/C268*100-100,0)</f>
        <v>85.872717549411618</v>
      </c>
      <c r="I268" s="9">
        <v>0</v>
      </c>
      <c r="J268" s="10">
        <f>IFERROR(I268/#REF!*100,)</f>
        <v>0</v>
      </c>
      <c r="K268" s="28" t="s">
        <v>19</v>
      </c>
      <c r="L268" s="94" t="s">
        <v>19</v>
      </c>
      <c r="M268" s="48" t="s">
        <v>158</v>
      </c>
    </row>
    <row r="269" spans="1:42" ht="142" customHeight="1" x14ac:dyDescent="0.6">
      <c r="A269" s="46">
        <v>1</v>
      </c>
      <c r="B269" s="65" t="s">
        <v>349</v>
      </c>
      <c r="C269" s="103">
        <v>0</v>
      </c>
      <c r="D269" s="103">
        <v>2000</v>
      </c>
      <c r="E269" s="103">
        <v>0</v>
      </c>
      <c r="F269" s="111">
        <f>(D269-E269)+7386</f>
        <v>9386</v>
      </c>
      <c r="G269" s="111">
        <f t="shared" si="26"/>
        <v>9386</v>
      </c>
      <c r="H269" s="18">
        <f>IFERROR(D269/C269*100-100,0)</f>
        <v>0</v>
      </c>
      <c r="I269" s="9">
        <v>0</v>
      </c>
      <c r="J269" s="10">
        <f>IFERROR(I269/#REF!*100,)</f>
        <v>0</v>
      </c>
      <c r="K269" s="28" t="s">
        <v>19</v>
      </c>
      <c r="L269" s="94" t="s">
        <v>19</v>
      </c>
      <c r="M269" s="48">
        <v>4438.49</v>
      </c>
    </row>
    <row r="270" spans="1:42" s="12" customFormat="1" ht="56.15" customHeight="1" x14ac:dyDescent="0.35">
      <c r="A270" s="258" t="s">
        <v>25</v>
      </c>
      <c r="B270" s="258"/>
      <c r="C270" s="199">
        <f>SUM(C267:C269)</f>
        <v>246061.22999999998</v>
      </c>
      <c r="D270" s="199">
        <f>SUM(D267:D269)</f>
        <v>316239.49</v>
      </c>
      <c r="E270" s="199">
        <f>SUM(E267:E269)</f>
        <v>90116.58</v>
      </c>
      <c r="F270" s="199">
        <f>SUM(F267:F269)</f>
        <v>233475.51</v>
      </c>
      <c r="G270" s="199">
        <f>SUM(G267:G269)</f>
        <v>323592.08999999997</v>
      </c>
      <c r="H270" s="200">
        <f>IFERROR(D270/C270*100-100,0)</f>
        <v>28.520649108354064</v>
      </c>
      <c r="I270" s="200">
        <f>SUM(I267:I268)</f>
        <v>0</v>
      </c>
      <c r="J270" s="200">
        <f>IFERROR(I270/#REF!*100,)</f>
        <v>0</v>
      </c>
      <c r="K270" s="36"/>
      <c r="L270" s="96">
        <f>SUM(L267:L268)</f>
        <v>0</v>
      </c>
      <c r="M270" s="55"/>
    </row>
    <row r="271" spans="1:42" ht="55.9" customHeight="1" x14ac:dyDescent="0.6">
      <c r="A271" s="257"/>
      <c r="B271" s="257"/>
      <c r="C271" s="257"/>
      <c r="D271" s="257"/>
      <c r="E271" s="257"/>
      <c r="F271" s="257"/>
      <c r="G271" s="257"/>
      <c r="H271" s="257"/>
      <c r="I271" s="257"/>
      <c r="J271" s="257"/>
    </row>
    <row r="272" spans="1:42" ht="97.5" hidden="1" customHeight="1" x14ac:dyDescent="0.6">
      <c r="A272" s="281" t="s">
        <v>1</v>
      </c>
      <c r="B272" s="282"/>
      <c r="C272" s="283" t="s">
        <v>55</v>
      </c>
      <c r="D272" s="283"/>
      <c r="E272" s="283"/>
      <c r="F272" s="283"/>
      <c r="G272" s="283"/>
      <c r="H272" s="284"/>
      <c r="I272" s="205"/>
      <c r="J272" s="206"/>
      <c r="K272" s="82"/>
      <c r="L272" s="98"/>
      <c r="P272" s="2"/>
      <c r="Q272" s="3"/>
      <c r="R272" s="3"/>
      <c r="S272" s="3"/>
      <c r="T272" s="3"/>
      <c r="U272" s="3"/>
      <c r="V272" s="3"/>
      <c r="W272" s="3"/>
      <c r="X272" s="3"/>
      <c r="Y272" s="3"/>
    </row>
    <row r="273" spans="1:42" ht="97.5" hidden="1" customHeight="1" x14ac:dyDescent="0.6">
      <c r="A273" s="285" t="s">
        <v>3</v>
      </c>
      <c r="B273" s="285"/>
      <c r="C273" s="286" t="s">
        <v>27</v>
      </c>
      <c r="D273" s="286"/>
      <c r="E273" s="286"/>
      <c r="F273" s="286"/>
      <c r="G273" s="286"/>
      <c r="H273" s="287"/>
      <c r="I273" s="72"/>
      <c r="J273" s="83"/>
      <c r="K273" s="82"/>
      <c r="L273" s="98"/>
      <c r="X273" s="3"/>
      <c r="Y273" s="3"/>
    </row>
    <row r="274" spans="1:42" ht="49.5" hidden="1" customHeight="1" x14ac:dyDescent="0.6">
      <c r="A274" s="84"/>
      <c r="B274" s="81"/>
      <c r="C274" s="109"/>
      <c r="D274" s="109"/>
      <c r="E274" s="109"/>
      <c r="F274" s="109"/>
      <c r="G274" s="109"/>
      <c r="H274" s="85"/>
      <c r="I274" s="85"/>
      <c r="J274" s="85"/>
      <c r="K274" s="82"/>
      <c r="L274" s="98"/>
      <c r="P274" s="2"/>
      <c r="Q274" s="3"/>
      <c r="R274" s="3"/>
      <c r="S274" s="3"/>
      <c r="T274" s="3"/>
      <c r="U274" s="3"/>
      <c r="V274" s="3"/>
      <c r="W274" s="3"/>
      <c r="X274" s="3"/>
      <c r="Y274" s="3"/>
    </row>
    <row r="275" spans="1:42" ht="97.5" hidden="1" customHeight="1" x14ac:dyDescent="0.6">
      <c r="A275" s="265" t="s">
        <v>5</v>
      </c>
      <c r="B275" s="266"/>
      <c r="C275" s="265" t="s">
        <v>6</v>
      </c>
      <c r="D275" s="266"/>
      <c r="E275" s="266"/>
      <c r="F275" s="266"/>
      <c r="G275" s="266"/>
      <c r="H275" s="267"/>
      <c r="I275" s="268" t="s">
        <v>7</v>
      </c>
      <c r="J275" s="269"/>
      <c r="K275" s="270" t="s">
        <v>8</v>
      </c>
      <c r="L275" s="273" t="s">
        <v>9</v>
      </c>
      <c r="O275" s="3"/>
      <c r="P275" s="3"/>
      <c r="Q275" s="3"/>
      <c r="R275" s="3"/>
      <c r="S275" s="3"/>
      <c r="T275" s="3"/>
      <c r="U275" s="3"/>
      <c r="V275" s="3"/>
      <c r="W275" s="3"/>
      <c r="X275" s="3"/>
      <c r="Y275" s="3"/>
    </row>
    <row r="276" spans="1:42" ht="56.15" hidden="1" customHeight="1" x14ac:dyDescent="0.6">
      <c r="A276" s="265" t="s">
        <v>10</v>
      </c>
      <c r="B276" s="266"/>
      <c r="C276" s="276" t="s">
        <v>11</v>
      </c>
      <c r="D276" s="288" t="s">
        <v>12</v>
      </c>
      <c r="E276" s="121"/>
      <c r="F276" s="121"/>
      <c r="G276" s="121"/>
      <c r="H276" s="278" t="s">
        <v>13</v>
      </c>
      <c r="I276" s="279" t="s">
        <v>14</v>
      </c>
      <c r="J276" s="279" t="s">
        <v>15</v>
      </c>
      <c r="K276" s="271"/>
      <c r="L276" s="274"/>
      <c r="O276" s="3"/>
      <c r="P276" s="3"/>
      <c r="Q276" s="3"/>
      <c r="R276" s="3"/>
      <c r="S276" s="3"/>
      <c r="T276" s="3"/>
      <c r="U276" s="3"/>
      <c r="V276" s="3"/>
      <c r="W276" s="3"/>
      <c r="X276" s="3"/>
      <c r="Y276" s="3"/>
    </row>
    <row r="277" spans="1:42" ht="97.5" hidden="1" customHeight="1" x14ac:dyDescent="0.6">
      <c r="A277" s="86" t="s">
        <v>16</v>
      </c>
      <c r="B277" s="86" t="s">
        <v>17</v>
      </c>
      <c r="C277" s="277"/>
      <c r="D277" s="289"/>
      <c r="E277" s="122"/>
      <c r="F277" s="122"/>
      <c r="G277" s="122"/>
      <c r="H277" s="278"/>
      <c r="I277" s="280"/>
      <c r="J277" s="280"/>
      <c r="K277" s="272"/>
      <c r="L277" s="275"/>
      <c r="O277" s="3"/>
      <c r="P277" s="3"/>
      <c r="Q277" s="3"/>
      <c r="R277" s="3"/>
      <c r="S277" s="3"/>
      <c r="T277" s="3"/>
      <c r="U277" s="3"/>
      <c r="V277" s="3"/>
      <c r="W277" s="3"/>
      <c r="X277" s="3"/>
      <c r="Y277" s="3"/>
      <c r="AP277" s="1" t="s">
        <v>18</v>
      </c>
    </row>
    <row r="278" spans="1:42" ht="80.150000000000006" hidden="1" customHeight="1" x14ac:dyDescent="0.6">
      <c r="A278" s="66">
        <v>50</v>
      </c>
      <c r="B278" s="67" t="s">
        <v>123</v>
      </c>
      <c r="C278" s="105">
        <v>7500</v>
      </c>
      <c r="D278" s="105">
        <v>0</v>
      </c>
      <c r="E278" s="105"/>
      <c r="F278" s="105"/>
      <c r="G278" s="105"/>
      <c r="H278" s="76">
        <f>IFERROR(D278/C278*100-100,0)</f>
        <v>-100</v>
      </c>
      <c r="I278" s="77"/>
      <c r="J278" s="78">
        <f>IFERROR(I278/#REF!*100,)</f>
        <v>0</v>
      </c>
      <c r="K278" s="79" t="s">
        <v>19</v>
      </c>
      <c r="L278" s="97" t="s">
        <v>19</v>
      </c>
    </row>
    <row r="279" spans="1:42" s="12" customFormat="1" ht="56.15" hidden="1" customHeight="1" x14ac:dyDescent="0.35">
      <c r="A279" s="263" t="s">
        <v>25</v>
      </c>
      <c r="B279" s="263"/>
      <c r="C279" s="92">
        <f>SUM(C278:C278)</f>
        <v>7500</v>
      </c>
      <c r="D279" s="92">
        <f>SUM(D278:D278)</f>
        <v>0</v>
      </c>
      <c r="E279" s="92"/>
      <c r="F279" s="92"/>
      <c r="G279" s="92"/>
      <c r="H279" s="87">
        <f>IFERROR(D279/C279*100-100,0)</f>
        <v>-100</v>
      </c>
      <c r="I279" s="162">
        <f>SUM(I278:I278)</f>
        <v>0</v>
      </c>
      <c r="J279" s="162">
        <f>IFERROR(I279/#REF!*100,)</f>
        <v>0</v>
      </c>
      <c r="K279" s="87"/>
      <c r="L279" s="99">
        <f>SUM(L278:L278)</f>
        <v>0</v>
      </c>
      <c r="M279" s="55"/>
    </row>
    <row r="280" spans="1:42" ht="97.5" customHeight="1" x14ac:dyDescent="0.6">
      <c r="A280" s="220" t="s">
        <v>1</v>
      </c>
      <c r="B280" s="221"/>
      <c r="C280" s="222" t="s">
        <v>56</v>
      </c>
      <c r="D280" s="222"/>
      <c r="E280" s="222"/>
      <c r="F280" s="222"/>
      <c r="G280" s="222"/>
      <c r="H280" s="222"/>
      <c r="I280" s="159"/>
      <c r="J280" s="159"/>
      <c r="P280" s="2"/>
      <c r="Q280" s="3"/>
      <c r="R280" s="3"/>
      <c r="S280" s="3"/>
      <c r="T280" s="3"/>
      <c r="U280" s="3"/>
      <c r="V280" s="3"/>
      <c r="W280" s="3"/>
      <c r="X280" s="3"/>
      <c r="Y280" s="3"/>
    </row>
    <row r="281" spans="1:42" ht="97.5" customHeight="1" x14ac:dyDescent="0.6">
      <c r="A281" s="221" t="s">
        <v>3</v>
      </c>
      <c r="B281" s="221"/>
      <c r="C281" s="222" t="s">
        <v>57</v>
      </c>
      <c r="D281" s="222"/>
      <c r="E281" s="222"/>
      <c r="F281" s="222"/>
      <c r="G281" s="222"/>
      <c r="H281" s="222"/>
      <c r="I281" s="160"/>
      <c r="J281" s="160"/>
      <c r="X281" s="3"/>
      <c r="Y281" s="3"/>
    </row>
    <row r="282" spans="1:42" s="6" customFormat="1" ht="49.5" customHeight="1" x14ac:dyDescent="0.6">
      <c r="A282" s="20"/>
      <c r="B282" s="4"/>
      <c r="C282" s="106"/>
      <c r="D282" s="106"/>
      <c r="E282" s="106"/>
      <c r="F282" s="106"/>
      <c r="G282" s="106"/>
      <c r="H282" s="5"/>
      <c r="I282" s="155"/>
      <c r="J282" s="155"/>
      <c r="K282" s="27"/>
      <c r="L282" s="95"/>
      <c r="P282" s="7"/>
      <c r="Q282" s="8"/>
      <c r="R282" s="8"/>
      <c r="S282" s="8"/>
      <c r="T282" s="8"/>
      <c r="U282" s="8"/>
      <c r="V282" s="8"/>
      <c r="W282" s="8"/>
      <c r="X282" s="8"/>
      <c r="Y282" s="8"/>
    </row>
    <row r="283" spans="1:42" ht="97.5" customHeight="1" x14ac:dyDescent="0.6">
      <c r="A283" s="223" t="s">
        <v>5</v>
      </c>
      <c r="B283" s="224"/>
      <c r="C283" s="223" t="s">
        <v>6</v>
      </c>
      <c r="D283" s="224"/>
      <c r="E283" s="224"/>
      <c r="F283" s="224"/>
      <c r="G283" s="224"/>
      <c r="H283" s="225"/>
      <c r="I283" s="226" t="s">
        <v>7</v>
      </c>
      <c r="J283" s="227"/>
      <c r="K283" s="233" t="s">
        <v>309</v>
      </c>
      <c r="L283" s="236" t="s">
        <v>9</v>
      </c>
      <c r="O283" s="8"/>
      <c r="P283" s="8"/>
      <c r="Q283" s="8"/>
      <c r="R283" s="8"/>
      <c r="S283" s="8"/>
      <c r="T283" s="8"/>
      <c r="U283" s="8"/>
      <c r="V283" s="8"/>
      <c r="W283" s="3"/>
      <c r="X283" s="3"/>
      <c r="Y283" s="3"/>
    </row>
    <row r="284" spans="1:42" ht="56.15" customHeight="1" x14ac:dyDescent="0.6">
      <c r="A284" s="223" t="s">
        <v>10</v>
      </c>
      <c r="B284" s="224"/>
      <c r="C284" s="229" t="s">
        <v>11</v>
      </c>
      <c r="D284" s="242" t="s">
        <v>310</v>
      </c>
      <c r="E284" s="223" t="s">
        <v>313</v>
      </c>
      <c r="F284" s="224"/>
      <c r="G284" s="225"/>
      <c r="H284" s="239" t="s">
        <v>315</v>
      </c>
      <c r="I284" s="240" t="s">
        <v>14</v>
      </c>
      <c r="J284" s="240" t="s">
        <v>15</v>
      </c>
      <c r="K284" s="234"/>
      <c r="L284" s="237"/>
      <c r="O284" s="8"/>
      <c r="P284" s="8"/>
      <c r="Q284" s="8"/>
      <c r="R284" s="8"/>
      <c r="S284" s="8"/>
      <c r="T284" s="8"/>
      <c r="U284" s="8"/>
      <c r="V284" s="8"/>
      <c r="W284" s="3"/>
      <c r="X284" s="3"/>
      <c r="Y284" s="3"/>
    </row>
    <row r="285" spans="1:42" ht="97.5" customHeight="1" x14ac:dyDescent="0.6">
      <c r="A285" s="16" t="s">
        <v>16</v>
      </c>
      <c r="B285" s="16" t="s">
        <v>17</v>
      </c>
      <c r="C285" s="230"/>
      <c r="D285" s="243"/>
      <c r="E285" s="16" t="s">
        <v>311</v>
      </c>
      <c r="F285" s="16" t="s">
        <v>312</v>
      </c>
      <c r="G285" s="16" t="s">
        <v>314</v>
      </c>
      <c r="H285" s="239"/>
      <c r="I285" s="241"/>
      <c r="J285" s="241"/>
      <c r="K285" s="235"/>
      <c r="L285" s="238"/>
      <c r="O285" s="8"/>
      <c r="P285" s="8"/>
      <c r="Q285" s="8"/>
      <c r="R285" s="8"/>
      <c r="S285" s="8"/>
      <c r="T285" s="8"/>
      <c r="U285" s="8"/>
      <c r="V285" s="8"/>
      <c r="W285" s="3"/>
      <c r="X285" s="3"/>
      <c r="Y285" s="3"/>
      <c r="AP285" s="1" t="s">
        <v>18</v>
      </c>
    </row>
    <row r="286" spans="1:42" ht="78" x14ac:dyDescent="0.6">
      <c r="A286" s="41">
        <v>15</v>
      </c>
      <c r="B286" s="32" t="s">
        <v>58</v>
      </c>
      <c r="C286" s="103">
        <v>0</v>
      </c>
      <c r="D286" s="103">
        <v>0</v>
      </c>
      <c r="E286" s="103">
        <v>0</v>
      </c>
      <c r="F286" s="111">
        <v>20000</v>
      </c>
      <c r="G286" s="111">
        <f>E286+F286</f>
        <v>20000</v>
      </c>
      <c r="H286" s="18">
        <f t="shared" ref="H286:H294" si="27">IFERROR(D286/C286*100-100,0)</f>
        <v>0</v>
      </c>
      <c r="I286" s="9">
        <v>0</v>
      </c>
      <c r="J286" s="10">
        <f>IFERROR(I286/#REF!*100,)</f>
        <v>0</v>
      </c>
      <c r="K286" s="28" t="s">
        <v>19</v>
      </c>
      <c r="L286" s="94" t="s">
        <v>19</v>
      </c>
      <c r="O286" s="8"/>
      <c r="P286" s="2"/>
      <c r="Q286" s="3"/>
      <c r="R286" s="3"/>
      <c r="S286" s="3"/>
      <c r="T286" s="3"/>
      <c r="U286" s="3"/>
      <c r="V286" s="3"/>
      <c r="W286" s="3"/>
      <c r="X286" s="3"/>
      <c r="Y286" s="3"/>
      <c r="AP286" s="1" t="s">
        <v>20</v>
      </c>
    </row>
    <row r="287" spans="1:42" ht="78" x14ac:dyDescent="0.6">
      <c r="A287" s="41">
        <v>15</v>
      </c>
      <c r="B287" s="32" t="s">
        <v>59</v>
      </c>
      <c r="C287" s="103">
        <v>151493.35999999999</v>
      </c>
      <c r="D287" s="103">
        <v>0</v>
      </c>
      <c r="E287" s="103">
        <v>23814.52</v>
      </c>
      <c r="F287" s="111">
        <v>40634.51</v>
      </c>
      <c r="G287" s="111">
        <f t="shared" ref="G287:G310" si="28">E287+F287</f>
        <v>64449.03</v>
      </c>
      <c r="H287" s="18">
        <f t="shared" si="27"/>
        <v>-100</v>
      </c>
      <c r="I287" s="9">
        <v>0</v>
      </c>
      <c r="J287" s="10">
        <f>IFERROR(I287/#REF!*100,)</f>
        <v>0</v>
      </c>
      <c r="K287" s="28" t="s">
        <v>19</v>
      </c>
      <c r="L287" s="94" t="s">
        <v>19</v>
      </c>
      <c r="P287" s="2"/>
      <c r="Q287" s="3"/>
      <c r="R287" s="3"/>
      <c r="S287" s="3"/>
      <c r="T287" s="3"/>
      <c r="U287" s="3"/>
      <c r="V287" s="3"/>
      <c r="W287" s="3"/>
      <c r="X287" s="3"/>
      <c r="Y287" s="3"/>
      <c r="AP287" s="1" t="s">
        <v>22</v>
      </c>
    </row>
    <row r="288" spans="1:42" ht="75" hidden="1" customHeight="1" x14ac:dyDescent="0.6">
      <c r="A288" s="68">
        <v>1</v>
      </c>
      <c r="B288" s="67" t="s">
        <v>60</v>
      </c>
      <c r="C288" s="110">
        <v>20000</v>
      </c>
      <c r="D288" s="105">
        <v>0</v>
      </c>
      <c r="E288" s="105">
        <v>0</v>
      </c>
      <c r="F288" s="110">
        <v>0</v>
      </c>
      <c r="G288" s="111">
        <f t="shared" si="28"/>
        <v>0</v>
      </c>
      <c r="H288" s="76">
        <f t="shared" si="27"/>
        <v>-100</v>
      </c>
      <c r="I288" s="77"/>
      <c r="J288" s="10">
        <f>IFERROR(I288/#REF!*100,)</f>
        <v>0</v>
      </c>
      <c r="K288" s="89" t="s">
        <v>19</v>
      </c>
      <c r="L288" s="97" t="s">
        <v>19</v>
      </c>
      <c r="P288" s="2"/>
      <c r="Q288" s="3"/>
      <c r="R288" s="3"/>
      <c r="S288" s="3"/>
      <c r="T288" s="3"/>
      <c r="U288" s="3"/>
      <c r="V288" s="3"/>
      <c r="W288" s="3"/>
      <c r="X288" s="3"/>
      <c r="Y288" s="3"/>
    </row>
    <row r="289" spans="1:25" ht="78" hidden="1" x14ac:dyDescent="0.6">
      <c r="A289" s="68">
        <v>1</v>
      </c>
      <c r="B289" s="69" t="s">
        <v>61</v>
      </c>
      <c r="C289" s="110">
        <v>6000</v>
      </c>
      <c r="D289" s="105">
        <v>0</v>
      </c>
      <c r="E289" s="105">
        <v>0</v>
      </c>
      <c r="F289" s="110">
        <v>0</v>
      </c>
      <c r="G289" s="111">
        <f t="shared" si="28"/>
        <v>0</v>
      </c>
      <c r="H289" s="76">
        <f t="shared" si="27"/>
        <v>-100</v>
      </c>
      <c r="I289" s="77"/>
      <c r="J289" s="10">
        <f>IFERROR(I289/#REF!*100,)</f>
        <v>0</v>
      </c>
      <c r="K289" s="79" t="s">
        <v>62</v>
      </c>
      <c r="L289" s="97" t="s">
        <v>19</v>
      </c>
      <c r="P289" s="3"/>
      <c r="Q289" s="3"/>
      <c r="R289" s="3"/>
      <c r="S289" s="3"/>
      <c r="T289" s="3"/>
      <c r="U289" s="3"/>
      <c r="V289" s="3"/>
      <c r="W289" s="3"/>
      <c r="X289" s="3"/>
      <c r="Y289" s="3"/>
    </row>
    <row r="290" spans="1:25" hidden="1" x14ac:dyDescent="0.6">
      <c r="A290" s="68">
        <v>1</v>
      </c>
      <c r="B290" s="67" t="s">
        <v>63</v>
      </c>
      <c r="C290" s="110">
        <v>20000</v>
      </c>
      <c r="D290" s="105">
        <v>0</v>
      </c>
      <c r="E290" s="105">
        <v>0</v>
      </c>
      <c r="F290" s="110">
        <v>0</v>
      </c>
      <c r="G290" s="111">
        <f t="shared" si="28"/>
        <v>0</v>
      </c>
      <c r="H290" s="76">
        <f t="shared" si="27"/>
        <v>-100</v>
      </c>
      <c r="I290" s="77"/>
      <c r="J290" s="10">
        <f>IFERROR(I290/#REF!*100,)</f>
        <v>0</v>
      </c>
      <c r="K290" s="89" t="s">
        <v>19</v>
      </c>
      <c r="L290" s="97" t="s">
        <v>19</v>
      </c>
      <c r="P290" s="119"/>
    </row>
    <row r="291" spans="1:25" ht="64" customHeight="1" x14ac:dyDescent="0.6">
      <c r="A291" s="41">
        <v>2</v>
      </c>
      <c r="B291" s="31" t="s">
        <v>350</v>
      </c>
      <c r="C291" s="108">
        <v>0</v>
      </c>
      <c r="D291" s="107">
        <v>20000</v>
      </c>
      <c r="E291" s="107">
        <v>0</v>
      </c>
      <c r="F291" s="108">
        <v>20000</v>
      </c>
      <c r="G291" s="111">
        <f t="shared" si="28"/>
        <v>20000</v>
      </c>
      <c r="H291" s="18">
        <f t="shared" si="27"/>
        <v>0</v>
      </c>
      <c r="I291" s="9">
        <v>0</v>
      </c>
      <c r="J291" s="10">
        <f>IFERROR(I291/#REF!*100,)</f>
        <v>0</v>
      </c>
      <c r="K291" s="63" t="s">
        <v>19</v>
      </c>
      <c r="L291" s="100" t="s">
        <v>19</v>
      </c>
      <c r="P291" s="11"/>
    </row>
    <row r="292" spans="1:25" ht="64" customHeight="1" x14ac:dyDescent="0.6">
      <c r="A292" s="41">
        <v>1</v>
      </c>
      <c r="B292" s="32" t="s">
        <v>125</v>
      </c>
      <c r="C292" s="108">
        <v>0</v>
      </c>
      <c r="D292" s="107">
        <v>30000</v>
      </c>
      <c r="E292" s="107">
        <v>0</v>
      </c>
      <c r="F292" s="108">
        <v>30000</v>
      </c>
      <c r="G292" s="111">
        <f t="shared" si="28"/>
        <v>30000</v>
      </c>
      <c r="H292" s="18">
        <f t="shared" si="27"/>
        <v>0</v>
      </c>
      <c r="I292" s="9">
        <v>0</v>
      </c>
      <c r="J292" s="10">
        <f>IFERROR(I292/#REF!*100,)</f>
        <v>0</v>
      </c>
      <c r="K292" s="63" t="s">
        <v>19</v>
      </c>
      <c r="L292" s="100" t="s">
        <v>19</v>
      </c>
      <c r="P292" s="11"/>
    </row>
    <row r="293" spans="1:25" ht="52" hidden="1" x14ac:dyDescent="0.6">
      <c r="A293" s="68">
        <v>1</v>
      </c>
      <c r="B293" s="69" t="s">
        <v>64</v>
      </c>
      <c r="C293" s="105">
        <v>30000</v>
      </c>
      <c r="D293" s="105">
        <v>0</v>
      </c>
      <c r="E293" s="105">
        <v>0</v>
      </c>
      <c r="F293" s="110">
        <v>0</v>
      </c>
      <c r="G293" s="111">
        <f t="shared" si="28"/>
        <v>0</v>
      </c>
      <c r="H293" s="76">
        <f t="shared" si="27"/>
        <v>-100</v>
      </c>
      <c r="I293" s="77"/>
      <c r="J293" s="10">
        <f>IFERROR(I293/#REF!*100,)</f>
        <v>0</v>
      </c>
      <c r="K293" s="79" t="s">
        <v>65</v>
      </c>
      <c r="L293" s="97" t="s">
        <v>19</v>
      </c>
    </row>
    <row r="294" spans="1:25" ht="85.5" hidden="1" customHeight="1" x14ac:dyDescent="0.6">
      <c r="A294" s="68">
        <v>1</v>
      </c>
      <c r="B294" s="69" t="s">
        <v>66</v>
      </c>
      <c r="C294" s="105">
        <v>3580</v>
      </c>
      <c r="D294" s="105">
        <v>0</v>
      </c>
      <c r="E294" s="105">
        <v>0</v>
      </c>
      <c r="F294" s="110">
        <v>0</v>
      </c>
      <c r="G294" s="111">
        <f t="shared" si="28"/>
        <v>0</v>
      </c>
      <c r="H294" s="76">
        <f t="shared" si="27"/>
        <v>-100</v>
      </c>
      <c r="I294" s="77"/>
      <c r="J294" s="10">
        <f>IFERROR(I294/#REF!*100,)</f>
        <v>0</v>
      </c>
      <c r="K294" s="79" t="s">
        <v>19</v>
      </c>
      <c r="L294" s="97" t="s">
        <v>19</v>
      </c>
    </row>
    <row r="295" spans="1:25" ht="85.5" customHeight="1" x14ac:dyDescent="0.6">
      <c r="A295" s="38">
        <v>1</v>
      </c>
      <c r="B295" s="32" t="s">
        <v>275</v>
      </c>
      <c r="C295" s="103">
        <v>0</v>
      </c>
      <c r="D295" s="103">
        <v>8941.6200000000008</v>
      </c>
      <c r="E295" s="103">
        <v>0</v>
      </c>
      <c r="F295" s="111">
        <v>0</v>
      </c>
      <c r="G295" s="111">
        <f t="shared" si="28"/>
        <v>0</v>
      </c>
      <c r="H295" s="18">
        <f t="shared" ref="H295:H303" si="29">IFERROR(D295/C295*100-100,0)</f>
        <v>0</v>
      </c>
      <c r="I295" s="9">
        <v>0</v>
      </c>
      <c r="J295" s="10">
        <f>IFERROR(I295/#REF!*100,)</f>
        <v>0</v>
      </c>
      <c r="K295" s="28" t="s">
        <v>19</v>
      </c>
      <c r="L295" s="94" t="s">
        <v>19</v>
      </c>
    </row>
    <row r="296" spans="1:25" ht="85.5" customHeight="1" x14ac:dyDescent="0.6">
      <c r="A296" s="38">
        <v>1</v>
      </c>
      <c r="B296" s="32" t="s">
        <v>305</v>
      </c>
      <c r="C296" s="103">
        <v>0</v>
      </c>
      <c r="D296" s="103">
        <v>8941.6200000000008</v>
      </c>
      <c r="E296" s="103">
        <v>0</v>
      </c>
      <c r="F296" s="111">
        <v>0</v>
      </c>
      <c r="G296" s="111">
        <f t="shared" si="28"/>
        <v>0</v>
      </c>
      <c r="H296" s="18">
        <f t="shared" si="29"/>
        <v>0</v>
      </c>
      <c r="I296" s="9">
        <v>0</v>
      </c>
      <c r="J296" s="10">
        <f>IFERROR(I296/#REF!*100,)</f>
        <v>0</v>
      </c>
      <c r="K296" s="28" t="s">
        <v>19</v>
      </c>
      <c r="L296" s="94" t="s">
        <v>19</v>
      </c>
    </row>
    <row r="297" spans="1:25" ht="85.5" customHeight="1" x14ac:dyDescent="0.6">
      <c r="A297" s="38">
        <v>1</v>
      </c>
      <c r="B297" s="32" t="s">
        <v>126</v>
      </c>
      <c r="C297" s="103">
        <v>0</v>
      </c>
      <c r="D297" s="103">
        <v>8941.6200000000008</v>
      </c>
      <c r="E297" s="103">
        <v>0</v>
      </c>
      <c r="F297" s="111">
        <f t="shared" ref="F297" si="30">D297-E297</f>
        <v>8941.6200000000008</v>
      </c>
      <c r="G297" s="111">
        <f t="shared" si="28"/>
        <v>8941.6200000000008</v>
      </c>
      <c r="H297" s="18">
        <f t="shared" si="29"/>
        <v>0</v>
      </c>
      <c r="I297" s="9">
        <v>0</v>
      </c>
      <c r="J297" s="10">
        <f>IFERROR(I297/#REF!*100,)</f>
        <v>0</v>
      </c>
      <c r="K297" s="28" t="s">
        <v>19</v>
      </c>
      <c r="L297" s="94" t="s">
        <v>19</v>
      </c>
    </row>
    <row r="298" spans="1:25" ht="85.5" customHeight="1" x14ac:dyDescent="0.6">
      <c r="A298" s="38">
        <v>1</v>
      </c>
      <c r="B298" s="32" t="s">
        <v>127</v>
      </c>
      <c r="C298" s="103">
        <v>0</v>
      </c>
      <c r="D298" s="103">
        <v>8941.6200000000008</v>
      </c>
      <c r="E298" s="103">
        <v>0</v>
      </c>
      <c r="F298" s="111">
        <v>0</v>
      </c>
      <c r="G298" s="111">
        <f t="shared" si="28"/>
        <v>0</v>
      </c>
      <c r="H298" s="18">
        <f t="shared" si="29"/>
        <v>0</v>
      </c>
      <c r="I298" s="9">
        <v>0</v>
      </c>
      <c r="J298" s="10">
        <f>IFERROR(I298/#REF!*100,)</f>
        <v>0</v>
      </c>
      <c r="K298" s="28" t="s">
        <v>19</v>
      </c>
      <c r="L298" s="94" t="s">
        <v>19</v>
      </c>
    </row>
    <row r="299" spans="1:25" ht="85.5" customHeight="1" x14ac:dyDescent="0.6">
      <c r="A299" s="38">
        <v>1</v>
      </c>
      <c r="B299" s="32" t="s">
        <v>128</v>
      </c>
      <c r="C299" s="103">
        <v>0</v>
      </c>
      <c r="D299" s="103">
        <v>8941.6200000000008</v>
      </c>
      <c r="E299" s="103">
        <v>0</v>
      </c>
      <c r="F299" s="111">
        <v>0</v>
      </c>
      <c r="G299" s="111">
        <f t="shared" si="28"/>
        <v>0</v>
      </c>
      <c r="H299" s="18">
        <f t="shared" si="29"/>
        <v>0</v>
      </c>
      <c r="I299" s="9">
        <v>0</v>
      </c>
      <c r="J299" s="10">
        <f>IFERROR(I299/#REF!*100,)</f>
        <v>0</v>
      </c>
      <c r="K299" s="28" t="s">
        <v>19</v>
      </c>
      <c r="L299" s="94" t="s">
        <v>19</v>
      </c>
    </row>
    <row r="300" spans="1:25" ht="85.5" customHeight="1" x14ac:dyDescent="0.6">
      <c r="A300" s="38">
        <v>1</v>
      </c>
      <c r="B300" s="32" t="s">
        <v>130</v>
      </c>
      <c r="C300" s="103">
        <v>0</v>
      </c>
      <c r="D300" s="103">
        <v>8941.6200000000008</v>
      </c>
      <c r="E300" s="103">
        <v>0</v>
      </c>
      <c r="F300" s="111">
        <v>0</v>
      </c>
      <c r="G300" s="111">
        <f t="shared" si="28"/>
        <v>0</v>
      </c>
      <c r="H300" s="18">
        <f t="shared" si="29"/>
        <v>0</v>
      </c>
      <c r="I300" s="9">
        <v>0</v>
      </c>
      <c r="J300" s="10">
        <f>IFERROR(I300/#REF!*100,)</f>
        <v>0</v>
      </c>
      <c r="K300" s="28" t="s">
        <v>19</v>
      </c>
      <c r="L300" s="94" t="s">
        <v>19</v>
      </c>
    </row>
    <row r="301" spans="1:25" ht="85.5" customHeight="1" x14ac:dyDescent="0.6">
      <c r="A301" s="38">
        <v>1</v>
      </c>
      <c r="B301" s="32" t="s">
        <v>131</v>
      </c>
      <c r="C301" s="103">
        <v>0</v>
      </c>
      <c r="D301" s="103">
        <v>8941.6200000000008</v>
      </c>
      <c r="E301" s="103">
        <v>0</v>
      </c>
      <c r="F301" s="111">
        <v>0</v>
      </c>
      <c r="G301" s="111">
        <f t="shared" si="28"/>
        <v>0</v>
      </c>
      <c r="H301" s="18">
        <f t="shared" si="29"/>
        <v>0</v>
      </c>
      <c r="I301" s="9">
        <v>0</v>
      </c>
      <c r="J301" s="10">
        <f>IFERROR(I301/#REF!*100,)</f>
        <v>0</v>
      </c>
      <c r="K301" s="28" t="s">
        <v>19</v>
      </c>
      <c r="L301" s="94" t="s">
        <v>19</v>
      </c>
    </row>
    <row r="302" spans="1:25" ht="85.5" customHeight="1" x14ac:dyDescent="0.6">
      <c r="A302" s="38">
        <v>1</v>
      </c>
      <c r="B302" s="32" t="s">
        <v>132</v>
      </c>
      <c r="C302" s="103">
        <v>0</v>
      </c>
      <c r="D302" s="103">
        <v>8941.6200000000008</v>
      </c>
      <c r="E302" s="103">
        <v>0</v>
      </c>
      <c r="F302" s="111">
        <v>0</v>
      </c>
      <c r="G302" s="111">
        <f t="shared" si="28"/>
        <v>0</v>
      </c>
      <c r="H302" s="18">
        <f t="shared" si="29"/>
        <v>0</v>
      </c>
      <c r="I302" s="9">
        <v>0</v>
      </c>
      <c r="J302" s="10">
        <f>IFERROR(I302/#REF!*100,)</f>
        <v>0</v>
      </c>
      <c r="K302" s="28" t="s">
        <v>19</v>
      </c>
      <c r="L302" s="94" t="s">
        <v>19</v>
      </c>
    </row>
    <row r="303" spans="1:25" ht="85.5" customHeight="1" x14ac:dyDescent="0.6">
      <c r="A303" s="38">
        <v>1</v>
      </c>
      <c r="B303" s="32" t="s">
        <v>133</v>
      </c>
      <c r="C303" s="103">
        <v>0</v>
      </c>
      <c r="D303" s="103">
        <v>8941.6200000000008</v>
      </c>
      <c r="E303" s="103">
        <v>0</v>
      </c>
      <c r="F303" s="111">
        <v>0</v>
      </c>
      <c r="G303" s="111">
        <f t="shared" si="28"/>
        <v>0</v>
      </c>
      <c r="H303" s="18">
        <f t="shared" si="29"/>
        <v>0</v>
      </c>
      <c r="I303" s="9">
        <v>0</v>
      </c>
      <c r="J303" s="10">
        <f>IFERROR(I303/#REF!*100,)</f>
        <v>0</v>
      </c>
      <c r="K303" s="28" t="s">
        <v>19</v>
      </c>
      <c r="L303" s="94" t="s">
        <v>19</v>
      </c>
    </row>
    <row r="304" spans="1:25" ht="85.5" customHeight="1" x14ac:dyDescent="0.6">
      <c r="A304" s="38">
        <v>1</v>
      </c>
      <c r="B304" s="32" t="s">
        <v>129</v>
      </c>
      <c r="C304" s="103"/>
      <c r="D304" s="103">
        <v>8941.6200000000008</v>
      </c>
      <c r="E304" s="103">
        <v>0</v>
      </c>
      <c r="F304" s="111">
        <v>0</v>
      </c>
      <c r="G304" s="111">
        <f t="shared" si="28"/>
        <v>0</v>
      </c>
      <c r="H304" s="18">
        <f>IFERROR(D303/C303*100-100,0)</f>
        <v>0</v>
      </c>
      <c r="I304" s="9">
        <v>0</v>
      </c>
      <c r="J304" s="10">
        <f>IFERROR(I304/#REF!*100,)</f>
        <v>0</v>
      </c>
      <c r="K304" s="28" t="s">
        <v>19</v>
      </c>
      <c r="L304" s="94" t="s">
        <v>19</v>
      </c>
    </row>
    <row r="305" spans="1:42" ht="104" x14ac:dyDescent="0.6">
      <c r="A305" s="38">
        <v>1</v>
      </c>
      <c r="B305" s="32" t="s">
        <v>139</v>
      </c>
      <c r="C305" s="103">
        <v>10000</v>
      </c>
      <c r="D305" s="104">
        <v>20000</v>
      </c>
      <c r="E305" s="104">
        <v>0</v>
      </c>
      <c r="F305" s="146">
        <v>0</v>
      </c>
      <c r="G305" s="111">
        <f t="shared" si="28"/>
        <v>0</v>
      </c>
      <c r="H305" s="18">
        <f>IFERROR(D305/C305*100-100,0)</f>
        <v>100</v>
      </c>
      <c r="I305" s="9">
        <v>0</v>
      </c>
      <c r="J305" s="10">
        <f>IFERROR(I305/#REF!*100,)</f>
        <v>0</v>
      </c>
      <c r="K305" s="28" t="s">
        <v>67</v>
      </c>
      <c r="L305" s="94" t="s">
        <v>19</v>
      </c>
    </row>
    <row r="306" spans="1:42" ht="120" customHeight="1" x14ac:dyDescent="0.6">
      <c r="A306" s="38">
        <v>1</v>
      </c>
      <c r="B306" s="32" t="s">
        <v>216</v>
      </c>
      <c r="C306" s="103"/>
      <c r="D306" s="104">
        <v>0</v>
      </c>
      <c r="E306" s="104">
        <v>0</v>
      </c>
      <c r="F306" s="111">
        <v>8941.6200000000008</v>
      </c>
      <c r="G306" s="111">
        <f t="shared" si="28"/>
        <v>8941.6200000000008</v>
      </c>
      <c r="H306" s="18">
        <f t="shared" ref="H306:H310" si="31">IFERROR(D306/C306*100-100,0)</f>
        <v>0</v>
      </c>
      <c r="I306" s="9">
        <v>0</v>
      </c>
      <c r="J306" s="10">
        <f>IFERROR(I306/#REF!*100,)</f>
        <v>0</v>
      </c>
      <c r="K306" s="28" t="s">
        <v>211</v>
      </c>
      <c r="L306" s="94" t="s">
        <v>19</v>
      </c>
    </row>
    <row r="307" spans="1:42" ht="120" customHeight="1" x14ac:dyDescent="0.6">
      <c r="A307" s="38">
        <v>1</v>
      </c>
      <c r="B307" s="32" t="s">
        <v>217</v>
      </c>
      <c r="C307" s="103"/>
      <c r="D307" s="104">
        <v>0</v>
      </c>
      <c r="E307" s="104">
        <v>0</v>
      </c>
      <c r="F307" s="111">
        <v>5000</v>
      </c>
      <c r="G307" s="111">
        <f t="shared" si="28"/>
        <v>5000</v>
      </c>
      <c r="H307" s="18">
        <f t="shared" si="31"/>
        <v>0</v>
      </c>
      <c r="I307" s="9">
        <v>0</v>
      </c>
      <c r="J307" s="10">
        <f>IFERROR(I307/#REF!*100,)</f>
        <v>0</v>
      </c>
      <c r="K307" s="28" t="s">
        <v>212</v>
      </c>
      <c r="L307" s="94" t="s">
        <v>19</v>
      </c>
    </row>
    <row r="308" spans="1:42" ht="120" customHeight="1" x14ac:dyDescent="0.6">
      <c r="A308" s="38">
        <v>1</v>
      </c>
      <c r="B308" s="32" t="s">
        <v>218</v>
      </c>
      <c r="C308" s="103"/>
      <c r="D308" s="104">
        <v>0</v>
      </c>
      <c r="E308" s="104">
        <v>0</v>
      </c>
      <c r="F308" s="111">
        <f>25000-10000</f>
        <v>15000</v>
      </c>
      <c r="G308" s="111">
        <f t="shared" si="28"/>
        <v>15000</v>
      </c>
      <c r="H308" s="18">
        <f t="shared" si="31"/>
        <v>0</v>
      </c>
      <c r="I308" s="9">
        <v>0</v>
      </c>
      <c r="J308" s="10">
        <f>IFERROR(I308/#REF!*100,)</f>
        <v>0</v>
      </c>
      <c r="K308" s="28" t="s">
        <v>213</v>
      </c>
      <c r="L308" s="94" t="s">
        <v>19</v>
      </c>
    </row>
    <row r="309" spans="1:42" ht="120" customHeight="1" x14ac:dyDescent="0.6">
      <c r="A309" s="38">
        <v>1</v>
      </c>
      <c r="B309" s="32" t="s">
        <v>219</v>
      </c>
      <c r="C309" s="103"/>
      <c r="D309" s="104">
        <v>0</v>
      </c>
      <c r="E309" s="104">
        <v>0</v>
      </c>
      <c r="F309" s="111">
        <v>10000</v>
      </c>
      <c r="G309" s="111">
        <f t="shared" si="28"/>
        <v>10000</v>
      </c>
      <c r="H309" s="18">
        <f t="shared" si="31"/>
        <v>0</v>
      </c>
      <c r="I309" s="9">
        <v>0</v>
      </c>
      <c r="J309" s="10">
        <f>IFERROR(I309/#REF!*100,)</f>
        <v>0</v>
      </c>
      <c r="K309" s="28" t="s">
        <v>214</v>
      </c>
      <c r="L309" s="94" t="s">
        <v>19</v>
      </c>
    </row>
    <row r="310" spans="1:42" s="129" customFormat="1" ht="144" customHeight="1" x14ac:dyDescent="0.6">
      <c r="A310" s="38">
        <v>1</v>
      </c>
      <c r="B310" s="32" t="s">
        <v>351</v>
      </c>
      <c r="C310" s="123"/>
      <c r="D310" s="104">
        <v>0</v>
      </c>
      <c r="E310" s="104">
        <v>0</v>
      </c>
      <c r="F310" s="111">
        <f>15000+5000</f>
        <v>20000</v>
      </c>
      <c r="G310" s="111">
        <f t="shared" si="28"/>
        <v>20000</v>
      </c>
      <c r="H310" s="18">
        <f t="shared" si="31"/>
        <v>0</v>
      </c>
      <c r="I310" s="134">
        <v>0</v>
      </c>
      <c r="J310" s="10">
        <f>IFERROR(I310/#REF!*100,)</f>
        <v>0</v>
      </c>
      <c r="K310" s="63" t="s">
        <v>215</v>
      </c>
      <c r="L310" s="100" t="s">
        <v>19</v>
      </c>
    </row>
    <row r="311" spans="1:42" s="12" customFormat="1" ht="56.15" customHeight="1" x14ac:dyDescent="0.35">
      <c r="A311" s="228" t="s">
        <v>25</v>
      </c>
      <c r="B311" s="228"/>
      <c r="C311" s="91">
        <f>SUM(C286:C305)</f>
        <v>241073.36</v>
      </c>
      <c r="D311" s="91">
        <f>SUM(D286:D310)</f>
        <v>159416.19999999998</v>
      </c>
      <c r="E311" s="91">
        <f>SUM(E286:E310)</f>
        <v>23814.52</v>
      </c>
      <c r="F311" s="91">
        <f>SUM(F286:F310)</f>
        <v>178517.75</v>
      </c>
      <c r="G311" s="91">
        <f>SUM(G286:G310)</f>
        <v>202332.27</v>
      </c>
      <c r="H311" s="19">
        <f>IFERROR(D311/C311*100-100,0)</f>
        <v>-33.872328323627301</v>
      </c>
      <c r="I311" s="19">
        <f>SUM(I286:I293)</f>
        <v>0</v>
      </c>
      <c r="J311" s="19">
        <f>IFERROR(I311/#REF!*100,)</f>
        <v>0</v>
      </c>
      <c r="K311" s="36"/>
      <c r="L311" s="96">
        <f>SUM(L286:L293)</f>
        <v>0</v>
      </c>
      <c r="M311" s="55"/>
      <c r="N311" s="55"/>
      <c r="O311" s="55">
        <f>N311/10</f>
        <v>0</v>
      </c>
    </row>
    <row r="312" spans="1:42" ht="55.9" customHeight="1" x14ac:dyDescent="0.6">
      <c r="A312" s="244"/>
      <c r="B312" s="244"/>
      <c r="C312" s="244"/>
      <c r="D312" s="244"/>
      <c r="E312" s="244"/>
      <c r="F312" s="244"/>
      <c r="G312" s="244"/>
      <c r="H312" s="244"/>
      <c r="I312" s="245"/>
      <c r="J312" s="245"/>
      <c r="K312" s="54"/>
      <c r="M312" s="49"/>
      <c r="N312" s="49"/>
      <c r="O312" s="49"/>
    </row>
    <row r="313" spans="1:42" ht="97.5" customHeight="1" x14ac:dyDescent="0.6">
      <c r="A313" s="220" t="s">
        <v>1</v>
      </c>
      <c r="B313" s="221"/>
      <c r="C313" s="222" t="s">
        <v>417</v>
      </c>
      <c r="D313" s="222"/>
      <c r="E313" s="222"/>
      <c r="F313" s="222"/>
      <c r="G313" s="222"/>
      <c r="H313" s="222"/>
      <c r="I313" s="159"/>
      <c r="J313" s="159"/>
      <c r="P313" s="2"/>
      <c r="Q313" s="3"/>
      <c r="R313" s="3"/>
      <c r="S313" s="3"/>
      <c r="T313" s="3"/>
      <c r="U313" s="3"/>
      <c r="V313" s="3"/>
      <c r="W313" s="3"/>
      <c r="X313" s="3"/>
      <c r="Y313" s="3"/>
    </row>
    <row r="314" spans="1:42" ht="97.5" customHeight="1" x14ac:dyDescent="0.6">
      <c r="A314" s="221" t="s">
        <v>3</v>
      </c>
      <c r="B314" s="221"/>
      <c r="C314" s="222" t="s">
        <v>43</v>
      </c>
      <c r="D314" s="222"/>
      <c r="E314" s="222"/>
      <c r="F314" s="222"/>
      <c r="G314" s="222"/>
      <c r="H314" s="222"/>
      <c r="I314" s="160"/>
      <c r="J314" s="160"/>
      <c r="X314" s="3"/>
      <c r="Y314" s="3"/>
    </row>
    <row r="315" spans="1:42" s="6" customFormat="1" ht="49.5" customHeight="1" x14ac:dyDescent="0.6">
      <c r="A315" s="20"/>
      <c r="B315" s="4"/>
      <c r="C315" s="106"/>
      <c r="D315" s="106"/>
      <c r="E315" s="106"/>
      <c r="F315" s="106"/>
      <c r="G315" s="106"/>
      <c r="H315" s="5"/>
      <c r="I315" s="155"/>
      <c r="J315" s="155"/>
      <c r="K315" s="27"/>
      <c r="L315" s="95"/>
      <c r="P315" s="7"/>
      <c r="Q315" s="8"/>
      <c r="R315" s="8"/>
      <c r="S315" s="8"/>
      <c r="T315" s="8"/>
      <c r="U315" s="8"/>
      <c r="V315" s="8"/>
      <c r="W315" s="8"/>
      <c r="X315" s="8"/>
      <c r="Y315" s="8"/>
    </row>
    <row r="316" spans="1:42" ht="97.5" customHeight="1" x14ac:dyDescent="0.6">
      <c r="A316" s="223" t="s">
        <v>5</v>
      </c>
      <c r="B316" s="224"/>
      <c r="C316" s="223" t="s">
        <v>6</v>
      </c>
      <c r="D316" s="224"/>
      <c r="E316" s="224"/>
      <c r="F316" s="224"/>
      <c r="G316" s="224"/>
      <c r="H316" s="225"/>
      <c r="I316" s="226" t="s">
        <v>7</v>
      </c>
      <c r="J316" s="227"/>
      <c r="K316" s="233" t="s">
        <v>309</v>
      </c>
      <c r="L316" s="236" t="s">
        <v>9</v>
      </c>
      <c r="O316" s="8"/>
      <c r="P316" s="8"/>
      <c r="Q316" s="8"/>
      <c r="R316" s="8"/>
      <c r="S316" s="8"/>
      <c r="T316" s="8"/>
      <c r="U316" s="8"/>
      <c r="V316" s="8"/>
      <c r="W316" s="3"/>
      <c r="X316" s="3"/>
      <c r="Y316" s="3"/>
    </row>
    <row r="317" spans="1:42" ht="56.15" customHeight="1" x14ac:dyDescent="0.6">
      <c r="A317" s="223" t="s">
        <v>10</v>
      </c>
      <c r="B317" s="224"/>
      <c r="C317" s="229" t="s">
        <v>11</v>
      </c>
      <c r="D317" s="242" t="s">
        <v>310</v>
      </c>
      <c r="E317" s="223" t="s">
        <v>313</v>
      </c>
      <c r="F317" s="224"/>
      <c r="G317" s="225"/>
      <c r="H317" s="239" t="s">
        <v>315</v>
      </c>
      <c r="I317" s="240" t="s">
        <v>14</v>
      </c>
      <c r="J317" s="240" t="s">
        <v>15</v>
      </c>
      <c r="K317" s="234"/>
      <c r="L317" s="237"/>
      <c r="O317" s="8"/>
      <c r="P317" s="8"/>
      <c r="Q317" s="8"/>
      <c r="R317" s="8"/>
      <c r="S317" s="8"/>
      <c r="T317" s="8"/>
      <c r="U317" s="8"/>
      <c r="V317" s="8"/>
      <c r="W317" s="3"/>
      <c r="X317" s="3"/>
      <c r="Y317" s="3"/>
    </row>
    <row r="318" spans="1:42" ht="97.5" customHeight="1" x14ac:dyDescent="0.6">
      <c r="A318" s="16" t="s">
        <v>16</v>
      </c>
      <c r="B318" s="16" t="s">
        <v>17</v>
      </c>
      <c r="C318" s="230"/>
      <c r="D318" s="243"/>
      <c r="E318" s="16" t="s">
        <v>311</v>
      </c>
      <c r="F318" s="16" t="s">
        <v>312</v>
      </c>
      <c r="G318" s="16" t="s">
        <v>314</v>
      </c>
      <c r="H318" s="239"/>
      <c r="I318" s="241"/>
      <c r="J318" s="241"/>
      <c r="K318" s="235"/>
      <c r="L318" s="238"/>
      <c r="O318" s="8"/>
      <c r="P318" s="8"/>
      <c r="Q318" s="8"/>
      <c r="R318" s="8"/>
      <c r="S318" s="8"/>
      <c r="T318" s="8"/>
      <c r="U318" s="8"/>
      <c r="V318" s="8"/>
      <c r="W318" s="3"/>
      <c r="X318" s="3"/>
      <c r="Y318" s="3"/>
      <c r="AP318" s="1" t="s">
        <v>18</v>
      </c>
    </row>
    <row r="319" spans="1:42" ht="52" x14ac:dyDescent="0.6">
      <c r="A319" s="44">
        <v>1</v>
      </c>
      <c r="B319" s="31" t="s">
        <v>352</v>
      </c>
      <c r="C319" s="107">
        <v>158446.65000000002</v>
      </c>
      <c r="D319" s="103">
        <v>0</v>
      </c>
      <c r="E319" s="103">
        <v>0</v>
      </c>
      <c r="F319" s="111">
        <v>171032.49</v>
      </c>
      <c r="G319" s="111">
        <f>E319+F319</f>
        <v>171032.49</v>
      </c>
      <c r="H319" s="18">
        <f>IFERROR(D319/C319*100-100,0)</f>
        <v>-100</v>
      </c>
      <c r="I319" s="9">
        <v>0</v>
      </c>
      <c r="J319" s="10">
        <f>IFERROR(I319/#REF!*100,)</f>
        <v>0</v>
      </c>
      <c r="K319" s="28" t="s">
        <v>19</v>
      </c>
      <c r="L319" s="94" t="s">
        <v>19</v>
      </c>
      <c r="O319" s="8"/>
      <c r="P319" s="2"/>
      <c r="Q319" s="3"/>
      <c r="R319" s="3"/>
      <c r="S319" s="3"/>
      <c r="T319" s="3"/>
      <c r="U319" s="3"/>
      <c r="V319" s="3"/>
      <c r="W319" s="3"/>
      <c r="X319" s="3"/>
      <c r="Y319" s="3"/>
      <c r="AP319" s="1" t="s">
        <v>20</v>
      </c>
    </row>
    <row r="320" spans="1:42" ht="78" x14ac:dyDescent="0.6">
      <c r="A320" s="44">
        <v>1</v>
      </c>
      <c r="B320" s="140" t="s">
        <v>355</v>
      </c>
      <c r="C320" s="107">
        <v>5000</v>
      </c>
      <c r="D320" s="104">
        <v>0</v>
      </c>
      <c r="E320" s="104">
        <v>0</v>
      </c>
      <c r="F320" s="146">
        <f>15000-3081.85</f>
        <v>11918.15</v>
      </c>
      <c r="G320" s="111">
        <f t="shared" ref="G320:G322" si="32">E320+F320</f>
        <v>11918.15</v>
      </c>
      <c r="H320" s="18">
        <f t="shared" ref="H320:H322" si="33">IFERROR(D320/C320*100-100,0)</f>
        <v>-100</v>
      </c>
      <c r="I320" s="9">
        <v>0</v>
      </c>
      <c r="J320" s="10">
        <f>IFERROR(I320/#REF!*100,)</f>
        <v>0</v>
      </c>
      <c r="K320" s="28" t="s">
        <v>19</v>
      </c>
      <c r="L320" s="94" t="s">
        <v>19</v>
      </c>
      <c r="M320" s="48" t="s">
        <v>158</v>
      </c>
      <c r="P320" s="2"/>
      <c r="Q320" s="3"/>
      <c r="R320" s="3"/>
      <c r="S320" s="3"/>
      <c r="T320" s="3"/>
      <c r="U320" s="3"/>
      <c r="V320" s="3"/>
      <c r="W320" s="3"/>
      <c r="X320" s="3"/>
      <c r="Y320" s="3"/>
      <c r="AP320" s="1" t="s">
        <v>22</v>
      </c>
    </row>
    <row r="321" spans="1:42" ht="78" x14ac:dyDescent="0.6">
      <c r="A321" s="44">
        <v>1</v>
      </c>
      <c r="B321" s="25" t="s">
        <v>354</v>
      </c>
      <c r="C321" s="103">
        <v>30000</v>
      </c>
      <c r="D321" s="104">
        <v>0</v>
      </c>
      <c r="E321" s="104">
        <v>0</v>
      </c>
      <c r="F321" s="146">
        <v>2000</v>
      </c>
      <c r="G321" s="111">
        <f t="shared" si="32"/>
        <v>2000</v>
      </c>
      <c r="H321" s="18">
        <f t="shared" si="33"/>
        <v>-100</v>
      </c>
      <c r="I321" s="9">
        <v>0</v>
      </c>
      <c r="J321" s="10">
        <f>IFERROR(I321/#REF!*100,)</f>
        <v>0</v>
      </c>
      <c r="K321" s="28" t="s">
        <v>19</v>
      </c>
      <c r="L321" s="94" t="s">
        <v>19</v>
      </c>
      <c r="M321" s="1" t="s">
        <v>286</v>
      </c>
      <c r="P321" s="2"/>
      <c r="Q321" s="3"/>
      <c r="R321" s="3"/>
      <c r="S321" s="3"/>
      <c r="T321" s="3"/>
      <c r="U321" s="3"/>
      <c r="V321" s="3"/>
      <c r="W321" s="3"/>
      <c r="X321" s="3"/>
      <c r="Y321" s="3"/>
    </row>
    <row r="322" spans="1:42" ht="52" x14ac:dyDescent="0.6">
      <c r="A322" s="46">
        <v>1</v>
      </c>
      <c r="B322" s="32" t="s">
        <v>319</v>
      </c>
      <c r="C322" s="103"/>
      <c r="D322" s="103">
        <v>0</v>
      </c>
      <c r="E322" s="103">
        <v>0</v>
      </c>
      <c r="F322" s="111">
        <f>18000</f>
        <v>18000</v>
      </c>
      <c r="G322" s="146">
        <f t="shared" si="32"/>
        <v>18000</v>
      </c>
      <c r="H322" s="18">
        <f t="shared" si="33"/>
        <v>0</v>
      </c>
      <c r="I322" s="9">
        <v>0</v>
      </c>
      <c r="J322" s="10">
        <v>0</v>
      </c>
      <c r="K322" s="28" t="s">
        <v>187</v>
      </c>
      <c r="L322" s="94" t="s">
        <v>19</v>
      </c>
      <c r="P322" s="2"/>
      <c r="Q322" s="3"/>
      <c r="R322" s="3"/>
      <c r="S322" s="3"/>
      <c r="T322" s="3"/>
      <c r="U322" s="3"/>
      <c r="V322" s="3"/>
      <c r="W322" s="3"/>
      <c r="X322" s="3"/>
      <c r="Y322" s="3"/>
    </row>
    <row r="323" spans="1:42" ht="216" customHeight="1" x14ac:dyDescent="0.6">
      <c r="A323" s="35">
        <v>1</v>
      </c>
      <c r="B323" s="32" t="s">
        <v>332</v>
      </c>
      <c r="C323" s="107"/>
      <c r="D323" s="104">
        <v>0</v>
      </c>
      <c r="E323" s="104">
        <v>0</v>
      </c>
      <c r="F323" s="111">
        <f>22000-12000</f>
        <v>10000</v>
      </c>
      <c r="G323" s="146">
        <f>E323+F323</f>
        <v>10000</v>
      </c>
      <c r="H323" s="18">
        <f>IFERROR(D323/C323*100-100,0)</f>
        <v>0</v>
      </c>
      <c r="I323" s="9">
        <v>0</v>
      </c>
      <c r="J323" s="10">
        <v>0</v>
      </c>
      <c r="K323" s="28" t="s">
        <v>192</v>
      </c>
      <c r="L323" s="94" t="s">
        <v>19</v>
      </c>
    </row>
    <row r="324" spans="1:42" ht="136.5" customHeight="1" x14ac:dyDescent="0.6">
      <c r="A324" s="39">
        <v>1</v>
      </c>
      <c r="B324" s="135" t="s">
        <v>353</v>
      </c>
      <c r="C324" s="107"/>
      <c r="D324" s="104">
        <v>0</v>
      </c>
      <c r="E324" s="104">
        <v>0</v>
      </c>
      <c r="F324" s="111">
        <f>1666.66666666667-1666.67</f>
        <v>-3.3333333301470702E-3</v>
      </c>
      <c r="G324" s="146">
        <f t="shared" ref="G324" si="34">E324+F324</f>
        <v>-3.3333333301470702E-3</v>
      </c>
      <c r="H324" s="18">
        <f t="shared" ref="H324" si="35">IFERROR(D324/C324*100-100,0)</f>
        <v>0</v>
      </c>
      <c r="I324" s="9">
        <v>0</v>
      </c>
      <c r="J324" s="10">
        <v>0</v>
      </c>
      <c r="K324" s="28" t="s">
        <v>199</v>
      </c>
      <c r="L324" s="94" t="s">
        <v>19</v>
      </c>
    </row>
    <row r="325" spans="1:42" s="12" customFormat="1" ht="56.15" customHeight="1" x14ac:dyDescent="0.35">
      <c r="A325" s="228" t="s">
        <v>25</v>
      </c>
      <c r="B325" s="228"/>
      <c r="C325" s="91">
        <f>SUM(C319:C321)</f>
        <v>193446.65000000002</v>
      </c>
      <c r="D325" s="91">
        <f>SUM(D319:D324)</f>
        <v>0</v>
      </c>
      <c r="E325" s="91">
        <f>SUM(E319:E324)</f>
        <v>0</v>
      </c>
      <c r="F325" s="91">
        <f>SUM(F319:F324)</f>
        <v>212950.63666666666</v>
      </c>
      <c r="G325" s="91">
        <f>SUM(G319:G324)</f>
        <v>212950.63666666666</v>
      </c>
      <c r="H325" s="19">
        <f>IFERROR(D325/C325*100-100,0)</f>
        <v>-100</v>
      </c>
      <c r="I325" s="19">
        <f>SUM(I319:I322)</f>
        <v>0</v>
      </c>
      <c r="J325" s="19">
        <f>IFERROR(I325/#REF!*100,)</f>
        <v>0</v>
      </c>
      <c r="K325" s="36"/>
      <c r="L325" s="96">
        <f>SUM(L319:L321)</f>
        <v>0</v>
      </c>
      <c r="M325" s="55"/>
    </row>
    <row r="326" spans="1:42" ht="55.9" customHeight="1" x14ac:dyDescent="0.6">
      <c r="A326" s="244"/>
      <c r="B326" s="244"/>
      <c r="C326" s="244"/>
      <c r="D326" s="244"/>
      <c r="E326" s="244"/>
      <c r="F326" s="244"/>
      <c r="G326" s="244"/>
      <c r="H326" s="244"/>
      <c r="I326" s="245"/>
      <c r="J326" s="245"/>
      <c r="K326" s="52"/>
    </row>
    <row r="327" spans="1:42" ht="97.5" customHeight="1" x14ac:dyDescent="0.6">
      <c r="A327" s="220" t="s">
        <v>1</v>
      </c>
      <c r="B327" s="221"/>
      <c r="C327" s="222" t="s">
        <v>74</v>
      </c>
      <c r="D327" s="222"/>
      <c r="E327" s="222"/>
      <c r="F327" s="222"/>
      <c r="G327" s="222"/>
      <c r="H327" s="222"/>
      <c r="I327" s="159"/>
      <c r="J327" s="159"/>
      <c r="P327" s="2"/>
      <c r="Q327" s="3"/>
      <c r="R327" s="3"/>
      <c r="S327" s="3"/>
      <c r="T327" s="3"/>
      <c r="U327" s="3"/>
      <c r="V327" s="3"/>
      <c r="W327" s="3"/>
      <c r="X327" s="3"/>
      <c r="Y327" s="3"/>
    </row>
    <row r="328" spans="1:42" ht="97.5" customHeight="1" x14ac:dyDescent="0.6">
      <c r="A328" s="221" t="s">
        <v>3</v>
      </c>
      <c r="B328" s="221"/>
      <c r="C328" s="222" t="s">
        <v>48</v>
      </c>
      <c r="D328" s="222"/>
      <c r="E328" s="222"/>
      <c r="F328" s="222"/>
      <c r="G328" s="222"/>
      <c r="H328" s="222"/>
      <c r="I328" s="160"/>
      <c r="J328" s="160"/>
      <c r="X328" s="3"/>
      <c r="Y328" s="3"/>
    </row>
    <row r="329" spans="1:42" s="6" customFormat="1" ht="49.5" customHeight="1" x14ac:dyDescent="0.6">
      <c r="A329" s="20"/>
      <c r="B329" s="4"/>
      <c r="C329" s="106"/>
      <c r="D329" s="106"/>
      <c r="E329" s="106"/>
      <c r="F329" s="106"/>
      <c r="G329" s="106"/>
      <c r="H329" s="5"/>
      <c r="I329" s="155"/>
      <c r="J329" s="155"/>
      <c r="K329" s="27"/>
      <c r="L329" s="95"/>
      <c r="P329" s="7"/>
      <c r="Q329" s="8"/>
      <c r="R329" s="8"/>
      <c r="S329" s="8"/>
      <c r="T329" s="8"/>
      <c r="U329" s="8"/>
      <c r="V329" s="8"/>
      <c r="W329" s="8"/>
      <c r="X329" s="8"/>
      <c r="Y329" s="8"/>
    </row>
    <row r="330" spans="1:42" ht="97.5" customHeight="1" x14ac:dyDescent="0.6">
      <c r="A330" s="223" t="s">
        <v>5</v>
      </c>
      <c r="B330" s="224"/>
      <c r="C330" s="223" t="s">
        <v>6</v>
      </c>
      <c r="D330" s="224"/>
      <c r="E330" s="224"/>
      <c r="F330" s="224"/>
      <c r="G330" s="224"/>
      <c r="H330" s="225"/>
      <c r="I330" s="226" t="s">
        <v>7</v>
      </c>
      <c r="J330" s="227"/>
      <c r="K330" s="233" t="s">
        <v>309</v>
      </c>
      <c r="L330" s="236" t="s">
        <v>9</v>
      </c>
      <c r="O330" s="8"/>
      <c r="P330" s="8"/>
      <c r="Q330" s="8"/>
      <c r="R330" s="8"/>
      <c r="S330" s="8"/>
      <c r="T330" s="8"/>
      <c r="U330" s="8"/>
      <c r="V330" s="8"/>
      <c r="W330" s="3"/>
      <c r="X330" s="3"/>
      <c r="Y330" s="3"/>
    </row>
    <row r="331" spans="1:42" ht="56.15" customHeight="1" x14ac:dyDescent="0.6">
      <c r="A331" s="223" t="s">
        <v>10</v>
      </c>
      <c r="B331" s="224"/>
      <c r="C331" s="229" t="s">
        <v>11</v>
      </c>
      <c r="D331" s="242" t="s">
        <v>310</v>
      </c>
      <c r="E331" s="223" t="s">
        <v>313</v>
      </c>
      <c r="F331" s="224"/>
      <c r="G331" s="225"/>
      <c r="H331" s="239" t="s">
        <v>315</v>
      </c>
      <c r="I331" s="240" t="s">
        <v>14</v>
      </c>
      <c r="J331" s="240" t="s">
        <v>15</v>
      </c>
      <c r="K331" s="234"/>
      <c r="L331" s="237"/>
      <c r="O331" s="8"/>
      <c r="P331" s="8"/>
      <c r="Q331" s="8"/>
      <c r="R331" s="8"/>
      <c r="S331" s="8"/>
      <c r="T331" s="8"/>
      <c r="U331" s="8"/>
      <c r="V331" s="8"/>
      <c r="W331" s="3"/>
      <c r="X331" s="3"/>
      <c r="Y331" s="3"/>
    </row>
    <row r="332" spans="1:42" ht="97.5" customHeight="1" x14ac:dyDescent="0.6">
      <c r="A332" s="16" t="s">
        <v>16</v>
      </c>
      <c r="B332" s="16" t="s">
        <v>17</v>
      </c>
      <c r="C332" s="230"/>
      <c r="D332" s="243"/>
      <c r="E332" s="16" t="s">
        <v>311</v>
      </c>
      <c r="F332" s="16" t="s">
        <v>312</v>
      </c>
      <c r="G332" s="16" t="s">
        <v>314</v>
      </c>
      <c r="H332" s="239"/>
      <c r="I332" s="241"/>
      <c r="J332" s="241"/>
      <c r="K332" s="235"/>
      <c r="L332" s="238"/>
      <c r="O332" s="8"/>
      <c r="P332" s="8"/>
      <c r="Q332" s="8"/>
      <c r="R332" s="8"/>
      <c r="S332" s="8"/>
      <c r="T332" s="8"/>
      <c r="U332" s="8"/>
      <c r="V332" s="8"/>
      <c r="W332" s="3"/>
      <c r="X332" s="3"/>
      <c r="Y332" s="3"/>
      <c r="AP332" s="1" t="s">
        <v>18</v>
      </c>
    </row>
    <row r="333" spans="1:42" ht="52" x14ac:dyDescent="0.6">
      <c r="A333" s="33">
        <v>1</v>
      </c>
      <c r="B333" s="25" t="s">
        <v>370</v>
      </c>
      <c r="C333" s="107">
        <v>151489.4</v>
      </c>
      <c r="D333" s="103">
        <v>167730.35999999999</v>
      </c>
      <c r="E333" s="103">
        <v>56427.65</v>
      </c>
      <c r="F333" s="111">
        <v>115151.85</v>
      </c>
      <c r="G333" s="111">
        <f>E333+F333</f>
        <v>171579.5</v>
      </c>
      <c r="H333" s="18">
        <f>IFERROR(D333/C333*100-100,0)</f>
        <v>10.720855716637587</v>
      </c>
      <c r="I333" s="9">
        <v>0</v>
      </c>
      <c r="J333" s="10">
        <f>IFERROR(I333/#REF!*100,)</f>
        <v>0</v>
      </c>
      <c r="K333" s="28" t="s">
        <v>19</v>
      </c>
      <c r="L333" s="94" t="s">
        <v>19</v>
      </c>
      <c r="M333" s="48"/>
      <c r="O333" s="8"/>
      <c r="P333" s="2"/>
      <c r="Q333" s="3"/>
      <c r="R333" s="3"/>
      <c r="S333" s="3"/>
      <c r="T333" s="3"/>
      <c r="U333" s="3"/>
      <c r="V333" s="3"/>
      <c r="W333" s="3"/>
      <c r="X333" s="3"/>
      <c r="Y333" s="3"/>
      <c r="AP333" s="1" t="s">
        <v>20</v>
      </c>
    </row>
    <row r="334" spans="1:42" ht="78" x14ac:dyDescent="0.6">
      <c r="A334" s="33">
        <v>1</v>
      </c>
      <c r="B334" s="25" t="s">
        <v>356</v>
      </c>
      <c r="C334" s="107">
        <v>15000</v>
      </c>
      <c r="D334" s="104">
        <v>20000</v>
      </c>
      <c r="E334" s="104">
        <v>250.5</v>
      </c>
      <c r="F334" s="146">
        <f>(D334-E334)-(83.5*8)</f>
        <v>19081.5</v>
      </c>
      <c r="G334" s="111">
        <f t="shared" ref="G334:G352" si="36">E334+F334</f>
        <v>19332</v>
      </c>
      <c r="H334" s="18">
        <f t="shared" ref="H334:H352" si="37">IFERROR(D334/C334*100-100,0)</f>
        <v>33.333333333333314</v>
      </c>
      <c r="I334" s="9">
        <v>0</v>
      </c>
      <c r="J334" s="10">
        <f>IFERROR(I334/#REF!*100,)</f>
        <v>0</v>
      </c>
      <c r="K334" s="28" t="s">
        <v>19</v>
      </c>
      <c r="L334" s="94" t="s">
        <v>19</v>
      </c>
      <c r="M334" s="1" t="s">
        <v>159</v>
      </c>
      <c r="P334" s="2"/>
      <c r="Q334" s="3"/>
      <c r="R334" s="3"/>
      <c r="S334" s="3"/>
      <c r="T334" s="3"/>
      <c r="U334" s="3"/>
      <c r="V334" s="3"/>
      <c r="W334" s="3"/>
      <c r="X334" s="3"/>
      <c r="Y334" s="3"/>
      <c r="AP334" s="1" t="s">
        <v>22</v>
      </c>
    </row>
    <row r="335" spans="1:42" ht="78" x14ac:dyDescent="0.6">
      <c r="A335" s="33">
        <v>1</v>
      </c>
      <c r="B335" s="25" t="s">
        <v>357</v>
      </c>
      <c r="C335" s="107">
        <v>0</v>
      </c>
      <c r="D335" s="107">
        <v>20000</v>
      </c>
      <c r="E335" s="107">
        <v>2093.63</v>
      </c>
      <c r="F335" s="108">
        <f>(1796.3*8)+(400*8)</f>
        <v>17570.400000000001</v>
      </c>
      <c r="G335" s="111">
        <f t="shared" si="36"/>
        <v>19664.030000000002</v>
      </c>
      <c r="H335" s="18">
        <f t="shared" si="37"/>
        <v>0</v>
      </c>
      <c r="I335" s="9">
        <v>0</v>
      </c>
      <c r="J335" s="10"/>
      <c r="K335" s="28" t="s">
        <v>19</v>
      </c>
      <c r="L335" s="94" t="s">
        <v>19</v>
      </c>
      <c r="M335" s="1" t="s">
        <v>292</v>
      </c>
      <c r="P335" s="2"/>
      <c r="Q335" s="3"/>
      <c r="R335" s="3"/>
      <c r="S335" s="3"/>
      <c r="T335" s="3"/>
      <c r="U335" s="3"/>
      <c r="V335" s="3"/>
      <c r="W335" s="3"/>
      <c r="X335" s="3"/>
      <c r="Y335" s="3"/>
    </row>
    <row r="336" spans="1:42" ht="55.5" customHeight="1" x14ac:dyDescent="0.6">
      <c r="A336" s="33">
        <v>1</v>
      </c>
      <c r="B336" s="25" t="s">
        <v>134</v>
      </c>
      <c r="C336" s="107">
        <v>64650.23</v>
      </c>
      <c r="D336" s="104">
        <v>80000</v>
      </c>
      <c r="E336" s="104">
        <v>0</v>
      </c>
      <c r="F336" s="146">
        <f>20961+30000</f>
        <v>50961</v>
      </c>
      <c r="G336" s="111">
        <f t="shared" si="36"/>
        <v>50961</v>
      </c>
      <c r="H336" s="18">
        <f t="shared" si="37"/>
        <v>23.742792562377574</v>
      </c>
      <c r="I336" s="9">
        <v>0</v>
      </c>
      <c r="J336" s="10"/>
      <c r="K336" s="28" t="s">
        <v>19</v>
      </c>
      <c r="L336" s="94" t="s">
        <v>19</v>
      </c>
      <c r="P336" s="2"/>
      <c r="Q336" s="3"/>
      <c r="R336" s="3"/>
      <c r="S336" s="3"/>
      <c r="T336" s="3"/>
      <c r="U336" s="3"/>
      <c r="V336" s="3"/>
      <c r="W336" s="3"/>
      <c r="X336" s="3"/>
      <c r="Y336" s="3"/>
    </row>
    <row r="337" spans="1:25" ht="84" customHeight="1" x14ac:dyDescent="0.6">
      <c r="A337" s="42">
        <v>1</v>
      </c>
      <c r="B337" s="25" t="s">
        <v>371</v>
      </c>
      <c r="C337" s="108">
        <v>5493</v>
      </c>
      <c r="D337" s="104">
        <v>80000</v>
      </c>
      <c r="E337" s="104">
        <v>0</v>
      </c>
      <c r="F337" s="146">
        <f>(2825*8)+30000</f>
        <v>52600</v>
      </c>
      <c r="G337" s="111">
        <f t="shared" si="36"/>
        <v>52600</v>
      </c>
      <c r="H337" s="18">
        <f t="shared" si="37"/>
        <v>1356.3990533406154</v>
      </c>
      <c r="I337" s="9">
        <v>0</v>
      </c>
      <c r="J337" s="10">
        <f>IFERROR(I337/#REF!*100,)</f>
        <v>0</v>
      </c>
      <c r="K337" s="28" t="s">
        <v>19</v>
      </c>
      <c r="L337" s="94" t="s">
        <v>19</v>
      </c>
      <c r="M337" s="1" t="s">
        <v>293</v>
      </c>
      <c r="P337" s="2"/>
      <c r="Q337" s="3"/>
      <c r="R337" s="3"/>
      <c r="S337" s="3"/>
      <c r="T337" s="3"/>
      <c r="U337" s="3"/>
      <c r="V337" s="3"/>
      <c r="W337" s="3"/>
      <c r="X337" s="3"/>
      <c r="Y337" s="3"/>
    </row>
    <row r="338" spans="1:25" ht="78" x14ac:dyDescent="0.6">
      <c r="A338" s="45">
        <v>1</v>
      </c>
      <c r="B338" s="32" t="s">
        <v>75</v>
      </c>
      <c r="C338" s="111">
        <v>50000</v>
      </c>
      <c r="D338" s="103">
        <v>82042</v>
      </c>
      <c r="E338" s="103">
        <v>19966.91</v>
      </c>
      <c r="F338" s="111">
        <f>(D337-E337)-20000</f>
        <v>60000</v>
      </c>
      <c r="G338" s="111">
        <f t="shared" si="36"/>
        <v>79966.91</v>
      </c>
      <c r="H338" s="18">
        <f t="shared" si="37"/>
        <v>64.084000000000003</v>
      </c>
      <c r="I338" s="9">
        <v>0</v>
      </c>
      <c r="J338" s="10">
        <f>IFERROR(I338/#REF!*100,)</f>
        <v>0</v>
      </c>
      <c r="K338" s="28" t="s">
        <v>19</v>
      </c>
      <c r="L338" s="94" t="s">
        <v>19</v>
      </c>
      <c r="M338" s="1" t="s">
        <v>163</v>
      </c>
      <c r="P338" s="2"/>
      <c r="Q338" s="3"/>
      <c r="R338" s="3"/>
      <c r="S338" s="3"/>
      <c r="T338" s="3"/>
      <c r="U338" s="3"/>
      <c r="V338" s="3"/>
      <c r="W338" s="3"/>
      <c r="X338" s="3"/>
      <c r="Y338" s="3"/>
    </row>
    <row r="339" spans="1:25" ht="78" hidden="1" x14ac:dyDescent="0.6">
      <c r="A339" s="71">
        <v>1</v>
      </c>
      <c r="B339" s="69" t="s">
        <v>76</v>
      </c>
      <c r="C339" s="105">
        <v>36000</v>
      </c>
      <c r="D339" s="105">
        <v>0</v>
      </c>
      <c r="E339" s="105">
        <v>0</v>
      </c>
      <c r="F339" s="110">
        <v>0</v>
      </c>
      <c r="G339" s="111">
        <f t="shared" si="36"/>
        <v>0</v>
      </c>
      <c r="H339" s="18">
        <f t="shared" si="37"/>
        <v>-100</v>
      </c>
      <c r="I339" s="9">
        <v>0</v>
      </c>
      <c r="J339" s="10">
        <f>IFERROR(I339/#REF!*100,)</f>
        <v>0</v>
      </c>
      <c r="K339" s="79" t="s">
        <v>19</v>
      </c>
      <c r="L339" s="97" t="s">
        <v>19</v>
      </c>
      <c r="P339" s="3"/>
      <c r="Q339" s="3"/>
      <c r="R339" s="3"/>
      <c r="S339" s="3"/>
      <c r="T339" s="3"/>
      <c r="U339" s="3"/>
      <c r="V339" s="3"/>
      <c r="W339" s="3"/>
      <c r="X339" s="3"/>
      <c r="Y339" s="3"/>
    </row>
    <row r="340" spans="1:25" ht="104" hidden="1" x14ac:dyDescent="0.6">
      <c r="A340" s="66">
        <v>1</v>
      </c>
      <c r="B340" s="72" t="s">
        <v>77</v>
      </c>
      <c r="C340" s="105">
        <v>22000</v>
      </c>
      <c r="D340" s="105">
        <v>0</v>
      </c>
      <c r="E340" s="105">
        <v>0</v>
      </c>
      <c r="F340" s="110">
        <v>0</v>
      </c>
      <c r="G340" s="111">
        <f t="shared" si="36"/>
        <v>0</v>
      </c>
      <c r="H340" s="18">
        <f t="shared" si="37"/>
        <v>-100</v>
      </c>
      <c r="I340" s="9">
        <v>0</v>
      </c>
      <c r="J340" s="10">
        <f>IFERROR(I340/#REF!*100,)</f>
        <v>0</v>
      </c>
      <c r="K340" s="79" t="s">
        <v>19</v>
      </c>
      <c r="L340" s="97" t="s">
        <v>19</v>
      </c>
    </row>
    <row r="341" spans="1:25" s="129" customFormat="1" ht="104" x14ac:dyDescent="0.6">
      <c r="A341" s="34">
        <v>1</v>
      </c>
      <c r="B341" s="64" t="s">
        <v>369</v>
      </c>
      <c r="C341" s="123"/>
      <c r="D341" s="111">
        <v>0</v>
      </c>
      <c r="E341" s="111">
        <v>0</v>
      </c>
      <c r="F341" s="111">
        <v>0</v>
      </c>
      <c r="G341" s="111">
        <f t="shared" si="36"/>
        <v>0</v>
      </c>
      <c r="H341" s="18">
        <f t="shared" si="37"/>
        <v>0</v>
      </c>
      <c r="I341" s="166">
        <v>0</v>
      </c>
      <c r="J341" s="167">
        <f>IFERROR(I341/#REF!*100,)</f>
        <v>0</v>
      </c>
      <c r="K341" s="28" t="s">
        <v>243</v>
      </c>
      <c r="L341" s="94" t="s">
        <v>19</v>
      </c>
    </row>
    <row r="342" spans="1:25" ht="52" x14ac:dyDescent="0.6">
      <c r="A342" s="34">
        <v>1</v>
      </c>
      <c r="B342" s="64" t="s">
        <v>368</v>
      </c>
      <c r="C342" s="103"/>
      <c r="D342" s="103">
        <v>0</v>
      </c>
      <c r="E342" s="103">
        <v>0</v>
      </c>
      <c r="F342" s="111">
        <v>0</v>
      </c>
      <c r="G342" s="111">
        <f t="shared" si="36"/>
        <v>0</v>
      </c>
      <c r="H342" s="18">
        <f t="shared" si="37"/>
        <v>0</v>
      </c>
      <c r="I342" s="136">
        <v>0</v>
      </c>
      <c r="J342" s="137">
        <f>IFERROR(I342/#REF!*100,)</f>
        <v>0</v>
      </c>
      <c r="K342" s="28" t="s">
        <v>244</v>
      </c>
      <c r="L342" s="94" t="s">
        <v>19</v>
      </c>
    </row>
    <row r="343" spans="1:25" ht="104" x14ac:dyDescent="0.6">
      <c r="A343" s="34">
        <v>1</v>
      </c>
      <c r="B343" s="64" t="s">
        <v>358</v>
      </c>
      <c r="C343" s="103"/>
      <c r="D343" s="103">
        <v>0</v>
      </c>
      <c r="E343" s="103">
        <v>0</v>
      </c>
      <c r="F343" s="111">
        <v>0</v>
      </c>
      <c r="G343" s="111">
        <f t="shared" si="36"/>
        <v>0</v>
      </c>
      <c r="H343" s="18">
        <f t="shared" si="37"/>
        <v>0</v>
      </c>
      <c r="I343" s="136">
        <v>0</v>
      </c>
      <c r="J343" s="137">
        <f>IFERROR(I343/#REF!*100,)</f>
        <v>0</v>
      </c>
      <c r="K343" s="28" t="s">
        <v>245</v>
      </c>
      <c r="L343" s="94" t="s">
        <v>19</v>
      </c>
    </row>
    <row r="344" spans="1:25" ht="52" x14ac:dyDescent="0.6">
      <c r="A344" s="34">
        <v>1</v>
      </c>
      <c r="B344" s="64" t="s">
        <v>367</v>
      </c>
      <c r="C344" s="103"/>
      <c r="D344" s="103">
        <v>0</v>
      </c>
      <c r="E344" s="103">
        <v>0</v>
      </c>
      <c r="F344" s="111">
        <v>0</v>
      </c>
      <c r="G344" s="111">
        <f t="shared" si="36"/>
        <v>0</v>
      </c>
      <c r="H344" s="18">
        <f t="shared" si="37"/>
        <v>0</v>
      </c>
      <c r="I344" s="136">
        <v>0</v>
      </c>
      <c r="J344" s="137">
        <f>IFERROR(I344/#REF!*100,)</f>
        <v>0</v>
      </c>
      <c r="K344" s="28" t="s">
        <v>246</v>
      </c>
      <c r="L344" s="94" t="s">
        <v>19</v>
      </c>
    </row>
    <row r="345" spans="1:25" ht="52" x14ac:dyDescent="0.6">
      <c r="A345" s="34">
        <v>1</v>
      </c>
      <c r="B345" s="64" t="s">
        <v>359</v>
      </c>
      <c r="C345" s="103"/>
      <c r="D345" s="103">
        <v>0</v>
      </c>
      <c r="E345" s="103">
        <v>0</v>
      </c>
      <c r="F345" s="111">
        <v>0</v>
      </c>
      <c r="G345" s="111">
        <f t="shared" si="36"/>
        <v>0</v>
      </c>
      <c r="H345" s="18">
        <f t="shared" si="37"/>
        <v>0</v>
      </c>
      <c r="I345" s="136">
        <v>0</v>
      </c>
      <c r="J345" s="137">
        <f>IFERROR(I345/#REF!*100,)</f>
        <v>0</v>
      </c>
      <c r="K345" s="28" t="s">
        <v>235</v>
      </c>
      <c r="L345" s="94" t="s">
        <v>19</v>
      </c>
    </row>
    <row r="346" spans="1:25" ht="52" x14ac:dyDescent="0.6">
      <c r="A346" s="34">
        <v>1</v>
      </c>
      <c r="B346" s="64" t="s">
        <v>366</v>
      </c>
      <c r="C346" s="103"/>
      <c r="D346" s="103">
        <v>0</v>
      </c>
      <c r="E346" s="103">
        <v>0</v>
      </c>
      <c r="F346" s="111">
        <v>0</v>
      </c>
      <c r="G346" s="111">
        <f t="shared" si="36"/>
        <v>0</v>
      </c>
      <c r="H346" s="18">
        <f t="shared" si="37"/>
        <v>0</v>
      </c>
      <c r="I346" s="136">
        <v>0</v>
      </c>
      <c r="J346" s="137">
        <f>IFERROR(I346/#REF!*100,)</f>
        <v>0</v>
      </c>
      <c r="K346" s="28" t="s">
        <v>247</v>
      </c>
      <c r="L346" s="94" t="s">
        <v>19</v>
      </c>
    </row>
    <row r="347" spans="1:25" ht="52" x14ac:dyDescent="0.6">
      <c r="A347" s="34">
        <v>1</v>
      </c>
      <c r="B347" s="64" t="s">
        <v>365</v>
      </c>
      <c r="C347" s="103"/>
      <c r="D347" s="103">
        <v>0</v>
      </c>
      <c r="E347" s="103">
        <v>0</v>
      </c>
      <c r="F347" s="111">
        <v>0</v>
      </c>
      <c r="G347" s="111">
        <f t="shared" si="36"/>
        <v>0</v>
      </c>
      <c r="H347" s="18">
        <f t="shared" si="37"/>
        <v>0</v>
      </c>
      <c r="I347" s="136">
        <v>0</v>
      </c>
      <c r="J347" s="137">
        <f>IFERROR(I347/#REF!*100,)</f>
        <v>0</v>
      </c>
      <c r="K347" s="28" t="s">
        <v>248</v>
      </c>
      <c r="L347" s="94" t="s">
        <v>19</v>
      </c>
    </row>
    <row r="348" spans="1:25" ht="52" x14ac:dyDescent="0.6">
      <c r="A348" s="34">
        <v>1</v>
      </c>
      <c r="B348" s="64" t="s">
        <v>364</v>
      </c>
      <c r="C348" s="103"/>
      <c r="D348" s="103">
        <v>0</v>
      </c>
      <c r="E348" s="103">
        <v>0</v>
      </c>
      <c r="F348" s="111">
        <v>0</v>
      </c>
      <c r="G348" s="111">
        <f t="shared" si="36"/>
        <v>0</v>
      </c>
      <c r="H348" s="18">
        <f t="shared" si="37"/>
        <v>0</v>
      </c>
      <c r="I348" s="136">
        <v>0</v>
      </c>
      <c r="J348" s="137">
        <f>IFERROR(I348/#REF!*100,)</f>
        <v>0</v>
      </c>
      <c r="K348" s="28" t="s">
        <v>249</v>
      </c>
      <c r="L348" s="94" t="s">
        <v>19</v>
      </c>
    </row>
    <row r="349" spans="1:25" ht="52" x14ac:dyDescent="0.6">
      <c r="A349" s="34">
        <v>1</v>
      </c>
      <c r="B349" s="64" t="s">
        <v>362</v>
      </c>
      <c r="C349" s="103"/>
      <c r="D349" s="103">
        <v>0</v>
      </c>
      <c r="E349" s="103">
        <v>0</v>
      </c>
      <c r="F349" s="111">
        <v>0</v>
      </c>
      <c r="G349" s="111">
        <f t="shared" si="36"/>
        <v>0</v>
      </c>
      <c r="H349" s="18">
        <f t="shared" si="37"/>
        <v>0</v>
      </c>
      <c r="I349" s="136">
        <v>0</v>
      </c>
      <c r="J349" s="137">
        <f>IFERROR(I349/#REF!*100,)</f>
        <v>0</v>
      </c>
      <c r="K349" s="28" t="s">
        <v>250</v>
      </c>
      <c r="L349" s="94" t="s">
        <v>19</v>
      </c>
    </row>
    <row r="350" spans="1:25" ht="52" x14ac:dyDescent="0.6">
      <c r="A350" s="34">
        <v>1</v>
      </c>
      <c r="B350" s="64" t="s">
        <v>360</v>
      </c>
      <c r="C350" s="103"/>
      <c r="D350" s="103">
        <v>0</v>
      </c>
      <c r="E350" s="103">
        <v>0</v>
      </c>
      <c r="F350" s="111">
        <v>0</v>
      </c>
      <c r="G350" s="111">
        <f t="shared" si="36"/>
        <v>0</v>
      </c>
      <c r="H350" s="18">
        <f t="shared" si="37"/>
        <v>0</v>
      </c>
      <c r="I350" s="136">
        <v>0</v>
      </c>
      <c r="J350" s="137">
        <f>IFERROR(I350/#REF!*100,)</f>
        <v>0</v>
      </c>
      <c r="K350" s="28" t="s">
        <v>251</v>
      </c>
      <c r="L350" s="94" t="s">
        <v>19</v>
      </c>
    </row>
    <row r="351" spans="1:25" ht="52" x14ac:dyDescent="0.6">
      <c r="A351" s="34">
        <v>1</v>
      </c>
      <c r="B351" s="64" t="s">
        <v>363</v>
      </c>
      <c r="C351" s="103"/>
      <c r="D351" s="103">
        <v>0</v>
      </c>
      <c r="E351" s="103">
        <v>0</v>
      </c>
      <c r="F351" s="111">
        <v>0</v>
      </c>
      <c r="G351" s="111">
        <f t="shared" si="36"/>
        <v>0</v>
      </c>
      <c r="H351" s="18">
        <f t="shared" si="37"/>
        <v>0</v>
      </c>
      <c r="I351" s="136">
        <v>0</v>
      </c>
      <c r="J351" s="137">
        <f>IFERROR(I351/#REF!*100,)</f>
        <v>0</v>
      </c>
      <c r="K351" s="28" t="s">
        <v>252</v>
      </c>
      <c r="L351" s="94" t="s">
        <v>19</v>
      </c>
    </row>
    <row r="352" spans="1:25" ht="52" x14ac:dyDescent="0.6">
      <c r="A352" s="34">
        <v>1</v>
      </c>
      <c r="B352" s="64" t="s">
        <v>361</v>
      </c>
      <c r="C352" s="103"/>
      <c r="D352" s="103">
        <v>0</v>
      </c>
      <c r="E352" s="103">
        <v>0</v>
      </c>
      <c r="F352" s="111">
        <v>0</v>
      </c>
      <c r="G352" s="111">
        <f t="shared" si="36"/>
        <v>0</v>
      </c>
      <c r="H352" s="18">
        <f t="shared" si="37"/>
        <v>0</v>
      </c>
      <c r="I352" s="136">
        <v>0</v>
      </c>
      <c r="J352" s="137">
        <f>IFERROR(I352/#REF!*100,)</f>
        <v>0</v>
      </c>
      <c r="K352" s="28" t="s">
        <v>253</v>
      </c>
      <c r="L352" s="94" t="s">
        <v>19</v>
      </c>
    </row>
    <row r="353" spans="1:25" s="12" customFormat="1" ht="56.15" customHeight="1" x14ac:dyDescent="0.35">
      <c r="A353" s="228" t="s">
        <v>25</v>
      </c>
      <c r="B353" s="228"/>
      <c r="C353" s="91">
        <f>SUM(C333:C340)</f>
        <v>344632.63</v>
      </c>
      <c r="D353" s="91">
        <f>SUM(D333:D352)</f>
        <v>449772.36</v>
      </c>
      <c r="E353" s="91">
        <f>SUM(E333:E352)</f>
        <v>78738.69</v>
      </c>
      <c r="F353" s="91">
        <f>SUM(F333:F352)</f>
        <v>315364.75</v>
      </c>
      <c r="G353" s="91">
        <f>SUM(G333:G352)</f>
        <v>394103.44000000006</v>
      </c>
      <c r="H353" s="19">
        <f>IFERROR(D353/C353*100-100,0)</f>
        <v>30.50776996943091</v>
      </c>
      <c r="I353" s="19">
        <f>SUM(I333:I340)</f>
        <v>0</v>
      </c>
      <c r="J353" s="19">
        <f>IFERROR(I353/#REF!*100,)</f>
        <v>0</v>
      </c>
      <c r="K353" s="36"/>
      <c r="L353" s="96">
        <f>SUM(L333:L340)</f>
        <v>0</v>
      </c>
      <c r="M353" s="55"/>
    </row>
    <row r="354" spans="1:25" ht="55.9" customHeight="1" x14ac:dyDescent="0.6">
      <c r="A354" s="244"/>
      <c r="B354" s="244"/>
      <c r="C354" s="244"/>
      <c r="D354" s="244"/>
      <c r="E354" s="244"/>
      <c r="F354" s="244"/>
      <c r="G354" s="244"/>
      <c r="H354" s="244"/>
      <c r="I354" s="245"/>
      <c r="J354" s="245"/>
      <c r="K354" s="52"/>
    </row>
    <row r="355" spans="1:25" ht="55" customHeight="1" x14ac:dyDescent="0.6">
      <c r="A355" s="220" t="s">
        <v>1</v>
      </c>
      <c r="B355" s="221"/>
      <c r="C355" s="222" t="s">
        <v>145</v>
      </c>
      <c r="D355" s="222"/>
      <c r="E355" s="222"/>
      <c r="F355" s="222"/>
      <c r="G355" s="222"/>
      <c r="H355" s="222"/>
      <c r="I355" s="159"/>
      <c r="J355" s="159"/>
    </row>
    <row r="356" spans="1:25" ht="94" customHeight="1" x14ac:dyDescent="0.6">
      <c r="A356" s="221" t="s">
        <v>3</v>
      </c>
      <c r="B356" s="221"/>
      <c r="C356" s="222" t="s">
        <v>48</v>
      </c>
      <c r="D356" s="222"/>
      <c r="E356" s="222"/>
      <c r="F356" s="222"/>
      <c r="G356" s="222"/>
      <c r="H356" s="222"/>
      <c r="I356" s="160"/>
      <c r="J356" s="160"/>
    </row>
    <row r="357" spans="1:25" x14ac:dyDescent="0.6">
      <c r="A357" s="20"/>
      <c r="B357" s="4"/>
      <c r="C357" s="106"/>
      <c r="D357" s="106"/>
      <c r="E357" s="106"/>
      <c r="F357" s="106"/>
      <c r="G357" s="106"/>
      <c r="H357" s="5"/>
      <c r="I357" s="155"/>
      <c r="J357" s="155"/>
      <c r="K357" s="27"/>
      <c r="L357" s="95"/>
    </row>
    <row r="358" spans="1:25" ht="26" customHeight="1" x14ac:dyDescent="0.6">
      <c r="A358" s="223" t="s">
        <v>5</v>
      </c>
      <c r="B358" s="224"/>
      <c r="C358" s="223" t="s">
        <v>6</v>
      </c>
      <c r="D358" s="224"/>
      <c r="E358" s="224"/>
      <c r="F358" s="224"/>
      <c r="G358" s="224"/>
      <c r="H358" s="225"/>
      <c r="I358" s="226" t="s">
        <v>7</v>
      </c>
      <c r="J358" s="227"/>
      <c r="K358" s="233" t="s">
        <v>309</v>
      </c>
      <c r="L358" s="236" t="s">
        <v>9</v>
      </c>
    </row>
    <row r="359" spans="1:25" ht="26" customHeight="1" x14ac:dyDescent="0.6">
      <c r="A359" s="223" t="s">
        <v>10</v>
      </c>
      <c r="B359" s="224"/>
      <c r="C359" s="229" t="s">
        <v>11</v>
      </c>
      <c r="D359" s="242" t="s">
        <v>310</v>
      </c>
      <c r="E359" s="223" t="s">
        <v>313</v>
      </c>
      <c r="F359" s="224"/>
      <c r="G359" s="225"/>
      <c r="H359" s="239" t="s">
        <v>315</v>
      </c>
      <c r="I359" s="240" t="s">
        <v>14</v>
      </c>
      <c r="J359" s="240" t="s">
        <v>15</v>
      </c>
      <c r="K359" s="234"/>
      <c r="L359" s="237"/>
    </row>
    <row r="360" spans="1:25" ht="78" x14ac:dyDescent="0.6">
      <c r="A360" s="16" t="s">
        <v>16</v>
      </c>
      <c r="B360" s="16" t="s">
        <v>17</v>
      </c>
      <c r="C360" s="230"/>
      <c r="D360" s="243"/>
      <c r="E360" s="16" t="s">
        <v>311</v>
      </c>
      <c r="F360" s="16" t="s">
        <v>312</v>
      </c>
      <c r="G360" s="16" t="s">
        <v>314</v>
      </c>
      <c r="H360" s="239"/>
      <c r="I360" s="241"/>
      <c r="J360" s="241"/>
      <c r="K360" s="235"/>
      <c r="L360" s="238"/>
    </row>
    <row r="361" spans="1:25" x14ac:dyDescent="0.6">
      <c r="A361" s="22">
        <v>1</v>
      </c>
      <c r="B361" s="118" t="s">
        <v>146</v>
      </c>
      <c r="C361" s="104">
        <v>0</v>
      </c>
      <c r="D361" s="104">
        <v>30000</v>
      </c>
      <c r="E361" s="104">
        <v>0</v>
      </c>
      <c r="F361" s="146">
        <v>30000</v>
      </c>
      <c r="G361" s="146">
        <f>E361+F361</f>
        <v>30000</v>
      </c>
      <c r="H361" s="18">
        <f>IFERROR(D361/C361*100-100,0)</f>
        <v>0</v>
      </c>
      <c r="I361" s="9">
        <v>0</v>
      </c>
      <c r="J361" s="10">
        <f>IFERROR(I361/#REF!*100,)</f>
        <v>0</v>
      </c>
      <c r="K361" s="28" t="s">
        <v>19</v>
      </c>
      <c r="L361" s="94">
        <f>D361</f>
        <v>30000</v>
      </c>
    </row>
    <row r="362" spans="1:25" x14ac:dyDescent="0.6">
      <c r="A362" s="138">
        <v>1</v>
      </c>
      <c r="B362" s="17" t="s">
        <v>138</v>
      </c>
      <c r="C362" s="104">
        <v>0</v>
      </c>
      <c r="D362" s="104">
        <v>100000</v>
      </c>
      <c r="E362" s="104">
        <v>0</v>
      </c>
      <c r="F362" s="146">
        <f>150000+100000</f>
        <v>250000</v>
      </c>
      <c r="G362" s="146">
        <f t="shared" ref="G362" si="38">E362+F362</f>
        <v>250000</v>
      </c>
      <c r="H362" s="18">
        <f>IFERROR(D362/C362*100-100,0)</f>
        <v>0</v>
      </c>
      <c r="I362" s="9">
        <v>0</v>
      </c>
      <c r="J362" s="10">
        <v>0</v>
      </c>
      <c r="K362" s="28" t="s">
        <v>19</v>
      </c>
      <c r="L362" s="94">
        <f>F362</f>
        <v>250000</v>
      </c>
      <c r="M362" s="1" t="s">
        <v>281</v>
      </c>
    </row>
    <row r="363" spans="1:25" x14ac:dyDescent="0.6">
      <c r="A363" s="228" t="s">
        <v>25</v>
      </c>
      <c r="B363" s="228"/>
      <c r="C363" s="91">
        <f>SUM(C361:C361)</f>
        <v>0</v>
      </c>
      <c r="D363" s="91">
        <f>D361+D362</f>
        <v>130000</v>
      </c>
      <c r="E363" s="91">
        <f>SUM(E361:E362)</f>
        <v>0</v>
      </c>
      <c r="F363" s="91">
        <f>SUM(F361:F362)</f>
        <v>280000</v>
      </c>
      <c r="G363" s="91">
        <f>SUM(G361:G362)</f>
        <v>280000</v>
      </c>
      <c r="H363" s="19">
        <f>IFERROR(D363/C363*100-100,0)</f>
        <v>0</v>
      </c>
      <c r="I363" s="19">
        <f>SUM(I361:I361)</f>
        <v>0</v>
      </c>
      <c r="J363" s="19">
        <f>IFERROR(I363/#REF!*100,)</f>
        <v>0</v>
      </c>
      <c r="K363" s="36">
        <v>0</v>
      </c>
      <c r="L363" s="96">
        <f>L361+L362</f>
        <v>280000</v>
      </c>
    </row>
    <row r="364" spans="1:25" ht="55.9" customHeight="1" x14ac:dyDescent="0.6">
      <c r="A364" s="88"/>
      <c r="B364" s="88"/>
      <c r="C364" s="88"/>
      <c r="D364" s="88"/>
      <c r="E364" s="88"/>
      <c r="F364" s="88"/>
      <c r="G364" s="88"/>
      <c r="H364" s="88"/>
      <c r="I364" s="161"/>
      <c r="J364" s="161"/>
      <c r="K364" s="52"/>
    </row>
    <row r="365" spans="1:25" ht="97.5" customHeight="1" x14ac:dyDescent="0.6">
      <c r="A365" s="220" t="s">
        <v>1</v>
      </c>
      <c r="B365" s="221"/>
      <c r="C365" s="222" t="s">
        <v>70</v>
      </c>
      <c r="D365" s="222"/>
      <c r="E365" s="222"/>
      <c r="F365" s="222"/>
      <c r="G365" s="222"/>
      <c r="H365" s="222"/>
      <c r="I365" s="159"/>
      <c r="J365" s="159"/>
      <c r="P365" s="2"/>
      <c r="Q365" s="3"/>
      <c r="R365" s="3"/>
      <c r="S365" s="3"/>
      <c r="T365" s="3"/>
      <c r="U365" s="3"/>
      <c r="V365" s="3"/>
      <c r="W365" s="3"/>
      <c r="X365" s="3"/>
      <c r="Y365" s="3"/>
    </row>
    <row r="366" spans="1:25" ht="97.5" customHeight="1" x14ac:dyDescent="0.6">
      <c r="A366" s="221" t="s">
        <v>3</v>
      </c>
      <c r="B366" s="221"/>
      <c r="C366" s="222" t="s">
        <v>71</v>
      </c>
      <c r="D366" s="222"/>
      <c r="E366" s="222"/>
      <c r="F366" s="222"/>
      <c r="G366" s="222"/>
      <c r="H366" s="222"/>
      <c r="I366" s="160"/>
      <c r="J366" s="160"/>
      <c r="X366" s="3"/>
      <c r="Y366" s="3"/>
    </row>
    <row r="367" spans="1:25" s="6" customFormat="1" ht="49.5" customHeight="1" x14ac:dyDescent="0.6">
      <c r="A367" s="20"/>
      <c r="B367" s="4"/>
      <c r="C367" s="106"/>
      <c r="D367" s="106"/>
      <c r="E367" s="106"/>
      <c r="F367" s="106"/>
      <c r="G367" s="106"/>
      <c r="H367" s="5"/>
      <c r="I367" s="155"/>
      <c r="J367" s="155"/>
      <c r="K367" s="27"/>
      <c r="L367" s="95"/>
      <c r="P367" s="7"/>
      <c r="Q367" s="8"/>
      <c r="R367" s="8"/>
      <c r="S367" s="8"/>
      <c r="T367" s="8"/>
      <c r="U367" s="8"/>
      <c r="V367" s="8"/>
      <c r="W367" s="8"/>
      <c r="X367" s="8"/>
      <c r="Y367" s="8"/>
    </row>
    <row r="368" spans="1:25" ht="97.5" customHeight="1" x14ac:dyDescent="0.6">
      <c r="A368" s="223" t="s">
        <v>5</v>
      </c>
      <c r="B368" s="224"/>
      <c r="C368" s="223" t="s">
        <v>6</v>
      </c>
      <c r="D368" s="224"/>
      <c r="E368" s="224"/>
      <c r="F368" s="224"/>
      <c r="G368" s="224"/>
      <c r="H368" s="225"/>
      <c r="I368" s="226" t="s">
        <v>7</v>
      </c>
      <c r="J368" s="227"/>
      <c r="K368" s="233" t="s">
        <v>309</v>
      </c>
      <c r="L368" s="236" t="s">
        <v>9</v>
      </c>
      <c r="O368" s="8"/>
      <c r="P368" s="8"/>
      <c r="Q368" s="8"/>
      <c r="R368" s="8"/>
      <c r="S368" s="8"/>
      <c r="T368" s="8"/>
      <c r="U368" s="8"/>
      <c r="V368" s="8"/>
      <c r="W368" s="3"/>
      <c r="X368" s="3"/>
      <c r="Y368" s="3"/>
    </row>
    <row r="369" spans="1:42" ht="56.15" customHeight="1" x14ac:dyDescent="0.6">
      <c r="A369" s="223" t="s">
        <v>10</v>
      </c>
      <c r="B369" s="224"/>
      <c r="C369" s="229" t="s">
        <v>11</v>
      </c>
      <c r="D369" s="242" t="s">
        <v>310</v>
      </c>
      <c r="E369" s="223" t="s">
        <v>313</v>
      </c>
      <c r="F369" s="224"/>
      <c r="G369" s="225"/>
      <c r="H369" s="239" t="s">
        <v>315</v>
      </c>
      <c r="I369" s="240" t="s">
        <v>14</v>
      </c>
      <c r="J369" s="240" t="s">
        <v>15</v>
      </c>
      <c r="K369" s="234"/>
      <c r="L369" s="237"/>
      <c r="O369" s="8"/>
      <c r="P369" s="8"/>
      <c r="Q369" s="8"/>
      <c r="R369" s="8"/>
      <c r="S369" s="8"/>
      <c r="T369" s="8"/>
      <c r="U369" s="8"/>
      <c r="V369" s="8"/>
      <c r="W369" s="3"/>
      <c r="X369" s="3"/>
      <c r="Y369" s="3"/>
    </row>
    <row r="370" spans="1:42" ht="97.5" customHeight="1" x14ac:dyDescent="0.6">
      <c r="A370" s="16" t="s">
        <v>16</v>
      </c>
      <c r="B370" s="16" t="s">
        <v>17</v>
      </c>
      <c r="C370" s="230"/>
      <c r="D370" s="243"/>
      <c r="E370" s="16" t="s">
        <v>311</v>
      </c>
      <c r="F370" s="16" t="s">
        <v>312</v>
      </c>
      <c r="G370" s="16" t="s">
        <v>314</v>
      </c>
      <c r="H370" s="239"/>
      <c r="I370" s="241"/>
      <c r="J370" s="241"/>
      <c r="K370" s="235"/>
      <c r="L370" s="238"/>
      <c r="O370" s="8"/>
      <c r="P370" s="8"/>
      <c r="Q370" s="8"/>
      <c r="R370" s="8"/>
      <c r="S370" s="8"/>
      <c r="T370" s="8"/>
      <c r="U370" s="8"/>
      <c r="V370" s="8"/>
      <c r="W370" s="3"/>
      <c r="X370" s="3"/>
      <c r="Y370" s="3"/>
      <c r="AP370" s="1" t="s">
        <v>18</v>
      </c>
    </row>
    <row r="371" spans="1:42" ht="130" x14ac:dyDescent="0.6">
      <c r="A371" s="44">
        <v>1</v>
      </c>
      <c r="B371" s="32" t="s">
        <v>372</v>
      </c>
      <c r="C371" s="107">
        <v>158446.65000000002</v>
      </c>
      <c r="D371" s="103">
        <v>166807.32</v>
      </c>
      <c r="E371" s="103">
        <v>51469.5</v>
      </c>
      <c r="F371" s="111">
        <v>117055.12358733336</v>
      </c>
      <c r="G371" s="111">
        <f>E371+F371</f>
        <v>168524.62358733336</v>
      </c>
      <c r="H371" s="18">
        <f>IFERROR(D371/C371*100-100,0)</f>
        <v>5.2766467451347125</v>
      </c>
      <c r="I371" s="9">
        <v>0</v>
      </c>
      <c r="J371" s="10">
        <f>IFERROR(I371/#REF!*100,)</f>
        <v>0</v>
      </c>
      <c r="K371" s="28" t="s">
        <v>19</v>
      </c>
      <c r="L371" s="94" t="s">
        <v>19</v>
      </c>
      <c r="O371" s="8"/>
      <c r="P371" s="2"/>
      <c r="Q371" s="3"/>
      <c r="R371" s="3"/>
      <c r="S371" s="3"/>
      <c r="T371" s="3"/>
      <c r="U371" s="3"/>
      <c r="V371" s="3"/>
      <c r="W371" s="3"/>
      <c r="X371" s="3"/>
      <c r="Y371" s="3"/>
      <c r="AP371" s="1" t="s">
        <v>20</v>
      </c>
    </row>
    <row r="372" spans="1:42" ht="78" x14ac:dyDescent="0.6">
      <c r="A372" s="44">
        <v>1</v>
      </c>
      <c r="B372" s="43" t="s">
        <v>373</v>
      </c>
      <c r="C372" s="107">
        <v>5000</v>
      </c>
      <c r="D372" s="104">
        <v>5000</v>
      </c>
      <c r="E372" s="104">
        <v>334</v>
      </c>
      <c r="F372" s="146">
        <f>(83.5*8)+5000</f>
        <v>5668</v>
      </c>
      <c r="G372" s="111">
        <f t="shared" ref="G372:G377" si="39">E372+F372</f>
        <v>6002</v>
      </c>
      <c r="H372" s="18">
        <f t="shared" ref="H372:H377" si="40">IFERROR(D372/C372*100-100,0)</f>
        <v>0</v>
      </c>
      <c r="I372" s="9">
        <v>0</v>
      </c>
      <c r="J372" s="10">
        <f>IFERROR(I372/#REF!*100,)</f>
        <v>0</v>
      </c>
      <c r="K372" s="28" t="s">
        <v>19</v>
      </c>
      <c r="L372" s="94" t="s">
        <v>19</v>
      </c>
      <c r="M372" s="48" t="s">
        <v>158</v>
      </c>
      <c r="P372" s="2"/>
      <c r="Q372" s="3"/>
      <c r="R372" s="3"/>
      <c r="S372" s="3"/>
      <c r="T372" s="3"/>
      <c r="U372" s="3"/>
      <c r="V372" s="3"/>
      <c r="W372" s="3"/>
      <c r="X372" s="3"/>
      <c r="Y372" s="3"/>
      <c r="AP372" s="1" t="s">
        <v>22</v>
      </c>
    </row>
    <row r="373" spans="1:42" ht="78" x14ac:dyDescent="0.6">
      <c r="A373" s="44">
        <v>1</v>
      </c>
      <c r="B373" s="25" t="s">
        <v>374</v>
      </c>
      <c r="C373" s="103">
        <v>30000</v>
      </c>
      <c r="D373" s="104">
        <v>33000</v>
      </c>
      <c r="E373" s="104">
        <v>438.44</v>
      </c>
      <c r="F373" s="146">
        <f>(1731*8)+(150*8)+1000</f>
        <v>16048</v>
      </c>
      <c r="G373" s="111">
        <f t="shared" si="39"/>
        <v>16486.439999999999</v>
      </c>
      <c r="H373" s="18">
        <f t="shared" si="40"/>
        <v>10.000000000000014</v>
      </c>
      <c r="I373" s="9">
        <v>0</v>
      </c>
      <c r="J373" s="10">
        <f>IFERROR(I373/#REF!*100,)</f>
        <v>0</v>
      </c>
      <c r="K373" s="28" t="s">
        <v>19</v>
      </c>
      <c r="L373" s="94" t="s">
        <v>19</v>
      </c>
      <c r="M373" s="1" t="s">
        <v>288</v>
      </c>
      <c r="P373" s="2"/>
      <c r="Q373" s="3"/>
      <c r="R373" s="3"/>
      <c r="S373" s="3"/>
      <c r="T373" s="3"/>
      <c r="U373" s="3"/>
      <c r="V373" s="3"/>
      <c r="W373" s="3"/>
      <c r="X373" s="3"/>
      <c r="Y373" s="3"/>
    </row>
    <row r="374" spans="1:42" ht="56.15" customHeight="1" x14ac:dyDescent="0.6">
      <c r="A374" s="34">
        <v>1</v>
      </c>
      <c r="B374" s="32" t="s">
        <v>376</v>
      </c>
      <c r="C374" s="103">
        <v>400000</v>
      </c>
      <c r="D374" s="103">
        <v>500000</v>
      </c>
      <c r="E374" s="103">
        <v>135647.85</v>
      </c>
      <c r="F374" s="111">
        <f>250000+56234.25</f>
        <v>306234.25</v>
      </c>
      <c r="G374" s="111">
        <f t="shared" si="39"/>
        <v>441882.1</v>
      </c>
      <c r="H374" s="18">
        <f t="shared" si="40"/>
        <v>25</v>
      </c>
      <c r="I374" s="9">
        <v>0</v>
      </c>
      <c r="J374" s="10">
        <f>IFERROR(I374/#REF!*100,)</f>
        <v>0</v>
      </c>
      <c r="K374" s="28" t="s">
        <v>72</v>
      </c>
      <c r="L374" s="94" t="s">
        <v>19</v>
      </c>
      <c r="M374" s="1" t="s">
        <v>254</v>
      </c>
      <c r="P374" s="2"/>
      <c r="Q374" s="3"/>
      <c r="R374" s="3"/>
      <c r="S374" s="3"/>
      <c r="T374" s="3"/>
      <c r="U374" s="3"/>
      <c r="V374" s="3"/>
      <c r="W374" s="3"/>
      <c r="X374" s="3"/>
      <c r="Y374" s="3"/>
    </row>
    <row r="375" spans="1:42" ht="55.5" customHeight="1" x14ac:dyDescent="0.6">
      <c r="A375" s="37">
        <v>1</v>
      </c>
      <c r="B375" s="32" t="s">
        <v>375</v>
      </c>
      <c r="C375" s="103">
        <v>50000</v>
      </c>
      <c r="D375" s="107">
        <v>50000</v>
      </c>
      <c r="E375" s="107">
        <v>0</v>
      </c>
      <c r="F375" s="108">
        <v>30000</v>
      </c>
      <c r="G375" s="111">
        <f t="shared" si="39"/>
        <v>30000</v>
      </c>
      <c r="H375" s="18">
        <f t="shared" si="40"/>
        <v>0</v>
      </c>
      <c r="I375" s="9">
        <v>0</v>
      </c>
      <c r="J375" s="10">
        <f>IFERROR(I375/#REF!*100,)</f>
        <v>0</v>
      </c>
      <c r="K375" s="28" t="s">
        <v>73</v>
      </c>
      <c r="L375" s="94" t="s">
        <v>19</v>
      </c>
      <c r="P375" s="11"/>
    </row>
    <row r="376" spans="1:42" ht="91.5" hidden="1" customHeight="1" x14ac:dyDescent="0.6">
      <c r="A376" s="70">
        <v>1</v>
      </c>
      <c r="B376" s="69" t="s">
        <v>255</v>
      </c>
      <c r="C376" s="105">
        <v>50000</v>
      </c>
      <c r="D376" s="105">
        <v>0</v>
      </c>
      <c r="E376" s="105">
        <v>0</v>
      </c>
      <c r="F376" s="110">
        <v>0</v>
      </c>
      <c r="G376" s="111">
        <f t="shared" si="39"/>
        <v>0</v>
      </c>
      <c r="H376" s="18">
        <f t="shared" si="40"/>
        <v>-100</v>
      </c>
      <c r="I376" s="77"/>
      <c r="J376" s="10">
        <f>IFERROR(I376/#REF!*100,)</f>
        <v>0</v>
      </c>
      <c r="K376" s="79" t="s">
        <v>19</v>
      </c>
      <c r="L376" s="97" t="s">
        <v>19</v>
      </c>
    </row>
    <row r="377" spans="1:42" ht="79.5" customHeight="1" x14ac:dyDescent="0.6">
      <c r="A377" s="37">
        <v>1</v>
      </c>
      <c r="B377" s="32" t="s">
        <v>377</v>
      </c>
      <c r="C377" s="103"/>
      <c r="D377" s="107">
        <v>0</v>
      </c>
      <c r="E377" s="107">
        <v>0</v>
      </c>
      <c r="F377" s="108">
        <v>0</v>
      </c>
      <c r="G377" s="111">
        <f t="shared" si="39"/>
        <v>0</v>
      </c>
      <c r="H377" s="18">
        <f t="shared" si="40"/>
        <v>0</v>
      </c>
      <c r="I377" s="9">
        <v>0</v>
      </c>
      <c r="J377" s="10">
        <f>IFERROR(I377/#REF!*100,)</f>
        <v>0</v>
      </c>
      <c r="K377" s="28" t="s">
        <v>19</v>
      </c>
      <c r="L377" s="94" t="s">
        <v>19</v>
      </c>
      <c r="P377" s="11"/>
    </row>
    <row r="378" spans="1:42" s="12" customFormat="1" ht="56.15" customHeight="1" x14ac:dyDescent="0.35">
      <c r="A378" s="228" t="s">
        <v>25</v>
      </c>
      <c r="B378" s="228"/>
      <c r="C378" s="91">
        <f>SUM(C371:C376)</f>
        <v>693446.65</v>
      </c>
      <c r="D378" s="91">
        <f>SUM(D371:D377)</f>
        <v>754807.32000000007</v>
      </c>
      <c r="E378" s="91">
        <f>SUM(E371:E377)</f>
        <v>187889.79</v>
      </c>
      <c r="F378" s="91">
        <f>SUM(F371:F377)</f>
        <v>475005.37358733336</v>
      </c>
      <c r="G378" s="91">
        <f>SUM(G371:G377)</f>
        <v>662895.1635873334</v>
      </c>
      <c r="H378" s="19">
        <f>IFERROR(D378/C378*100-100,0)</f>
        <v>8.8486504333101976</v>
      </c>
      <c r="I378" s="19">
        <f>SUM(I371:I377)</f>
        <v>0</v>
      </c>
      <c r="J378" s="19">
        <f>IFERROR(I378/#REF!*100,)</f>
        <v>0</v>
      </c>
      <c r="K378" s="36"/>
      <c r="L378" s="96">
        <f>SUM(L371:L376)</f>
        <v>0</v>
      </c>
      <c r="M378" s="55"/>
    </row>
    <row r="379" spans="1:42" ht="55.9" customHeight="1" x14ac:dyDescent="0.6">
      <c r="A379" s="244"/>
      <c r="B379" s="244"/>
      <c r="C379" s="244"/>
      <c r="D379" s="244"/>
      <c r="E379" s="244"/>
      <c r="F379" s="244"/>
      <c r="G379" s="244"/>
      <c r="H379" s="244"/>
      <c r="I379" s="245"/>
      <c r="J379" s="245"/>
      <c r="K379" s="52"/>
    </row>
    <row r="380" spans="1:42" ht="97.5" customHeight="1" x14ac:dyDescent="0.6">
      <c r="A380" s="220" t="s">
        <v>1</v>
      </c>
      <c r="B380" s="221"/>
      <c r="C380" s="222" t="s">
        <v>263</v>
      </c>
      <c r="D380" s="222"/>
      <c r="E380" s="222"/>
      <c r="F380" s="222"/>
      <c r="G380" s="222"/>
      <c r="H380" s="222"/>
      <c r="I380" s="159"/>
      <c r="J380" s="159"/>
      <c r="P380" s="2"/>
      <c r="Q380" s="3"/>
      <c r="R380" s="3"/>
      <c r="S380" s="3"/>
      <c r="T380" s="3"/>
      <c r="U380" s="3"/>
      <c r="V380" s="3"/>
      <c r="W380" s="3"/>
      <c r="X380" s="3"/>
      <c r="Y380" s="3"/>
    </row>
    <row r="381" spans="1:42" ht="97.5" customHeight="1" x14ac:dyDescent="0.6">
      <c r="A381" s="221" t="s">
        <v>3</v>
      </c>
      <c r="B381" s="221"/>
      <c r="C381" s="222" t="s">
        <v>35</v>
      </c>
      <c r="D381" s="222"/>
      <c r="E381" s="222"/>
      <c r="F381" s="222"/>
      <c r="G381" s="222"/>
      <c r="H381" s="222"/>
      <c r="I381" s="160"/>
      <c r="J381" s="160"/>
      <c r="X381" s="3"/>
      <c r="Y381" s="3"/>
    </row>
    <row r="382" spans="1:42" s="6" customFormat="1" ht="49.5" customHeight="1" x14ac:dyDescent="0.6">
      <c r="A382" s="20"/>
      <c r="B382" s="4"/>
      <c r="C382" s="106"/>
      <c r="D382" s="106"/>
      <c r="E382" s="106"/>
      <c r="F382" s="106"/>
      <c r="G382" s="106"/>
      <c r="H382" s="5"/>
      <c r="I382" s="155"/>
      <c r="J382" s="155"/>
      <c r="K382" s="27"/>
      <c r="L382" s="95"/>
      <c r="P382" s="7"/>
      <c r="Q382" s="8"/>
      <c r="R382" s="8"/>
      <c r="S382" s="8"/>
      <c r="T382" s="8"/>
      <c r="U382" s="8"/>
      <c r="V382" s="8"/>
      <c r="W382" s="8"/>
      <c r="X382" s="8"/>
      <c r="Y382" s="8"/>
    </row>
    <row r="383" spans="1:42" ht="97.5" customHeight="1" x14ac:dyDescent="0.6">
      <c r="A383" s="223" t="s">
        <v>5</v>
      </c>
      <c r="B383" s="224"/>
      <c r="C383" s="223" t="s">
        <v>6</v>
      </c>
      <c r="D383" s="224"/>
      <c r="E383" s="224"/>
      <c r="F383" s="224"/>
      <c r="G383" s="224"/>
      <c r="H383" s="225"/>
      <c r="I383" s="226" t="s">
        <v>7</v>
      </c>
      <c r="J383" s="227"/>
      <c r="K383" s="233" t="s">
        <v>309</v>
      </c>
      <c r="L383" s="236" t="s">
        <v>9</v>
      </c>
      <c r="O383" s="8"/>
      <c r="P383" s="8"/>
      <c r="Q383" s="8"/>
      <c r="R383" s="8"/>
      <c r="S383" s="8"/>
      <c r="T383" s="8"/>
      <c r="U383" s="8"/>
      <c r="V383" s="8"/>
      <c r="W383" s="3"/>
      <c r="X383" s="3"/>
      <c r="Y383" s="3"/>
    </row>
    <row r="384" spans="1:42" ht="56.15" customHeight="1" x14ac:dyDescent="0.6">
      <c r="A384" s="223" t="s">
        <v>10</v>
      </c>
      <c r="B384" s="224"/>
      <c r="C384" s="229" t="s">
        <v>11</v>
      </c>
      <c r="D384" s="242" t="s">
        <v>310</v>
      </c>
      <c r="E384" s="223" t="s">
        <v>313</v>
      </c>
      <c r="F384" s="224"/>
      <c r="G384" s="225"/>
      <c r="H384" s="239" t="s">
        <v>315</v>
      </c>
      <c r="I384" s="240" t="s">
        <v>14</v>
      </c>
      <c r="J384" s="240" t="s">
        <v>15</v>
      </c>
      <c r="K384" s="234"/>
      <c r="L384" s="237"/>
      <c r="O384" s="8"/>
      <c r="P384" s="8"/>
      <c r="Q384" s="8"/>
      <c r="R384" s="8"/>
      <c r="S384" s="8"/>
      <c r="T384" s="8"/>
      <c r="U384" s="8"/>
      <c r="V384" s="8"/>
      <c r="W384" s="3"/>
      <c r="X384" s="3"/>
      <c r="Y384" s="3"/>
    </row>
    <row r="385" spans="1:42" ht="97.5" customHeight="1" x14ac:dyDescent="0.6">
      <c r="A385" s="16" t="s">
        <v>16</v>
      </c>
      <c r="B385" s="16" t="s">
        <v>17</v>
      </c>
      <c r="C385" s="230"/>
      <c r="D385" s="243"/>
      <c r="E385" s="16" t="s">
        <v>311</v>
      </c>
      <c r="F385" s="16" t="s">
        <v>312</v>
      </c>
      <c r="G385" s="16" t="s">
        <v>314</v>
      </c>
      <c r="H385" s="239"/>
      <c r="I385" s="241"/>
      <c r="J385" s="241"/>
      <c r="K385" s="235"/>
      <c r="L385" s="238"/>
      <c r="O385" s="8"/>
      <c r="P385" s="8"/>
      <c r="Q385" s="8"/>
      <c r="R385" s="8"/>
      <c r="S385" s="8"/>
      <c r="T385" s="8"/>
      <c r="U385" s="8"/>
      <c r="V385" s="8"/>
      <c r="W385" s="3"/>
      <c r="X385" s="3"/>
      <c r="Y385" s="3"/>
      <c r="AP385" s="1" t="s">
        <v>18</v>
      </c>
    </row>
    <row r="386" spans="1:42" ht="78" x14ac:dyDescent="0.6">
      <c r="A386" s="44">
        <v>1</v>
      </c>
      <c r="B386" s="31" t="s">
        <v>378</v>
      </c>
      <c r="C386" s="107">
        <v>158446.65000000002</v>
      </c>
      <c r="D386" s="103">
        <v>0</v>
      </c>
      <c r="E386" s="103">
        <v>0</v>
      </c>
      <c r="F386" s="111">
        <v>136156.53</v>
      </c>
      <c r="G386" s="111">
        <f>E386+F386</f>
        <v>136156.53</v>
      </c>
      <c r="H386" s="18">
        <f>IFERROR(D386/C386*100-100,0)</f>
        <v>-100</v>
      </c>
      <c r="I386" s="9">
        <v>0</v>
      </c>
      <c r="J386" s="10">
        <f>IFERROR(I386/#REF!*100,)</f>
        <v>0</v>
      </c>
      <c r="K386" s="28" t="s">
        <v>19</v>
      </c>
      <c r="L386" s="94" t="s">
        <v>19</v>
      </c>
      <c r="O386" s="8"/>
      <c r="P386" s="2"/>
      <c r="Q386" s="3"/>
      <c r="R386" s="3"/>
      <c r="S386" s="3"/>
      <c r="T386" s="3"/>
      <c r="U386" s="3"/>
      <c r="V386" s="3"/>
      <c r="W386" s="3"/>
      <c r="X386" s="3"/>
      <c r="Y386" s="3"/>
      <c r="AP386" s="1" t="s">
        <v>20</v>
      </c>
    </row>
    <row r="387" spans="1:42" ht="78" x14ac:dyDescent="0.6">
      <c r="A387" s="44">
        <v>1</v>
      </c>
      <c r="B387" s="140" t="s">
        <v>379</v>
      </c>
      <c r="C387" s="107">
        <v>5000</v>
      </c>
      <c r="D387" s="104">
        <v>0</v>
      </c>
      <c r="E387" s="104">
        <v>0</v>
      </c>
      <c r="F387" s="146">
        <f>(83.5*8)</f>
        <v>668</v>
      </c>
      <c r="G387" s="111">
        <f t="shared" ref="G387:G388" si="41">E387+F387</f>
        <v>668</v>
      </c>
      <c r="H387" s="18">
        <f t="shared" ref="H387:H388" si="42">IFERROR(D387/C387*100-100,0)</f>
        <v>-100</v>
      </c>
      <c r="I387" s="9">
        <v>0</v>
      </c>
      <c r="J387" s="10">
        <f>IFERROR(I387/#REF!*100,)</f>
        <v>0</v>
      </c>
      <c r="K387" s="28" t="s">
        <v>19</v>
      </c>
      <c r="L387" s="94" t="s">
        <v>19</v>
      </c>
      <c r="M387" s="48" t="s">
        <v>158</v>
      </c>
      <c r="P387" s="2"/>
      <c r="Q387" s="3"/>
      <c r="R387" s="3"/>
      <c r="S387" s="3"/>
      <c r="T387" s="3"/>
      <c r="U387" s="3"/>
      <c r="V387" s="3"/>
      <c r="W387" s="3"/>
      <c r="X387" s="3"/>
      <c r="Y387" s="3"/>
      <c r="AP387" s="1" t="s">
        <v>22</v>
      </c>
    </row>
    <row r="388" spans="1:42" ht="78" x14ac:dyDescent="0.6">
      <c r="A388" s="44">
        <v>1</v>
      </c>
      <c r="B388" s="25" t="s">
        <v>380</v>
      </c>
      <c r="C388" s="103">
        <v>30000</v>
      </c>
      <c r="D388" s="104">
        <v>0</v>
      </c>
      <c r="E388" s="104">
        <v>0</v>
      </c>
      <c r="F388" s="146">
        <v>500</v>
      </c>
      <c r="G388" s="111">
        <f t="shared" si="41"/>
        <v>500</v>
      </c>
      <c r="H388" s="18">
        <f t="shared" si="42"/>
        <v>-100</v>
      </c>
      <c r="I388" s="9">
        <v>0</v>
      </c>
      <c r="J388" s="10">
        <f>IFERROR(I388/#REF!*100,)</f>
        <v>0</v>
      </c>
      <c r="K388" s="28" t="s">
        <v>19</v>
      </c>
      <c r="L388" s="94" t="s">
        <v>19</v>
      </c>
      <c r="P388" s="2"/>
      <c r="Q388" s="3"/>
      <c r="R388" s="3"/>
      <c r="S388" s="3"/>
      <c r="T388" s="3"/>
      <c r="U388" s="3"/>
      <c r="V388" s="3"/>
      <c r="W388" s="3"/>
      <c r="X388" s="3"/>
      <c r="Y388" s="3"/>
    </row>
    <row r="389" spans="1:42" s="12" customFormat="1" ht="56.15" customHeight="1" x14ac:dyDescent="0.35">
      <c r="A389" s="228" t="s">
        <v>25</v>
      </c>
      <c r="B389" s="228"/>
      <c r="C389" s="91">
        <f>SUM(C386:C388)</f>
        <v>193446.65000000002</v>
      </c>
      <c r="D389" s="91">
        <f>SUM(D386:D388)</f>
        <v>0</v>
      </c>
      <c r="E389" s="91">
        <f>SUM(E386:E388)</f>
        <v>0</v>
      </c>
      <c r="F389" s="91">
        <f>SUM(F386:F388)</f>
        <v>137324.53</v>
      </c>
      <c r="G389" s="91">
        <f>SUM(G386:G388)</f>
        <v>137324.53</v>
      </c>
      <c r="H389" s="19">
        <f>IFERROR(D389/C389*100-100,0)</f>
        <v>-100</v>
      </c>
      <c r="I389" s="19">
        <f>SUM(I386:I388)</f>
        <v>0</v>
      </c>
      <c r="J389" s="19">
        <f>IFERROR(I389/#REF!*100,)</f>
        <v>0</v>
      </c>
      <c r="K389" s="36"/>
      <c r="L389" s="96">
        <f>SUM(L386:L388)</f>
        <v>0</v>
      </c>
      <c r="M389" s="55"/>
    </row>
    <row r="390" spans="1:42" ht="55.9" customHeight="1" x14ac:dyDescent="0.6">
      <c r="A390" s="141"/>
      <c r="B390" s="141"/>
      <c r="C390" s="141"/>
      <c r="D390" s="141"/>
      <c r="E390" s="141"/>
      <c r="F390" s="141"/>
      <c r="G390" s="141"/>
      <c r="H390" s="141"/>
      <c r="I390" s="141"/>
      <c r="J390" s="141"/>
      <c r="K390" s="52"/>
    </row>
    <row r="391" spans="1:42" ht="97.5" customHeight="1" x14ac:dyDescent="0.6">
      <c r="A391" s="220" t="s">
        <v>1</v>
      </c>
      <c r="B391" s="221"/>
      <c r="C391" s="222" t="s">
        <v>264</v>
      </c>
      <c r="D391" s="222"/>
      <c r="E391" s="222"/>
      <c r="F391" s="222"/>
      <c r="G391" s="222"/>
      <c r="H391" s="222"/>
      <c r="I391" s="159"/>
      <c r="J391" s="159"/>
      <c r="P391" s="2"/>
      <c r="Q391" s="3"/>
      <c r="R391" s="3"/>
      <c r="S391" s="3"/>
      <c r="T391" s="3"/>
      <c r="U391" s="3"/>
      <c r="V391" s="3"/>
      <c r="W391" s="3"/>
      <c r="X391" s="3"/>
      <c r="Y391" s="3"/>
    </row>
    <row r="392" spans="1:42" ht="97.5" customHeight="1" x14ac:dyDescent="0.6">
      <c r="A392" s="221" t="s">
        <v>3</v>
      </c>
      <c r="B392" s="221"/>
      <c r="C392" s="222" t="s">
        <v>71</v>
      </c>
      <c r="D392" s="222"/>
      <c r="E392" s="222"/>
      <c r="F392" s="222"/>
      <c r="G392" s="222"/>
      <c r="H392" s="222"/>
      <c r="I392" s="160"/>
      <c r="J392" s="160"/>
      <c r="X392" s="3"/>
      <c r="Y392" s="3"/>
    </row>
    <row r="393" spans="1:42" s="6" customFormat="1" ht="49.5" customHeight="1" x14ac:dyDescent="0.6">
      <c r="A393" s="20"/>
      <c r="B393" s="4"/>
      <c r="C393" s="106"/>
      <c r="D393" s="106"/>
      <c r="E393" s="106"/>
      <c r="F393" s="106"/>
      <c r="G393" s="106"/>
      <c r="H393" s="5"/>
      <c r="I393" s="155"/>
      <c r="J393" s="155"/>
      <c r="K393" s="27"/>
      <c r="L393" s="95"/>
      <c r="P393" s="7"/>
      <c r="Q393" s="8"/>
      <c r="R393" s="8"/>
      <c r="S393" s="8"/>
      <c r="T393" s="8"/>
      <c r="U393" s="8"/>
      <c r="V393" s="8"/>
      <c r="W393" s="8"/>
      <c r="X393" s="8"/>
      <c r="Y393" s="8"/>
    </row>
    <row r="394" spans="1:42" ht="97.5" customHeight="1" x14ac:dyDescent="0.6">
      <c r="A394" s="223" t="s">
        <v>5</v>
      </c>
      <c r="B394" s="224"/>
      <c r="C394" s="223" t="s">
        <v>6</v>
      </c>
      <c r="D394" s="224"/>
      <c r="E394" s="224"/>
      <c r="F394" s="224"/>
      <c r="G394" s="224"/>
      <c r="H394" s="225"/>
      <c r="I394" s="226" t="s">
        <v>7</v>
      </c>
      <c r="J394" s="227"/>
      <c r="K394" s="233" t="s">
        <v>309</v>
      </c>
      <c r="L394" s="236" t="s">
        <v>9</v>
      </c>
      <c r="O394" s="8"/>
      <c r="P394" s="8"/>
      <c r="Q394" s="8"/>
      <c r="R394" s="8"/>
      <c r="S394" s="8"/>
      <c r="T394" s="8"/>
      <c r="U394" s="8"/>
      <c r="V394" s="8"/>
      <c r="W394" s="3"/>
      <c r="X394" s="3"/>
      <c r="Y394" s="3"/>
    </row>
    <row r="395" spans="1:42" ht="56.15" customHeight="1" x14ac:dyDescent="0.6">
      <c r="A395" s="223" t="s">
        <v>10</v>
      </c>
      <c r="B395" s="224"/>
      <c r="C395" s="229" t="s">
        <v>11</v>
      </c>
      <c r="D395" s="242" t="s">
        <v>310</v>
      </c>
      <c r="E395" s="223" t="s">
        <v>313</v>
      </c>
      <c r="F395" s="224"/>
      <c r="G395" s="225"/>
      <c r="H395" s="239" t="s">
        <v>315</v>
      </c>
      <c r="I395" s="240" t="s">
        <v>14</v>
      </c>
      <c r="J395" s="240" t="s">
        <v>15</v>
      </c>
      <c r="K395" s="234"/>
      <c r="L395" s="237"/>
      <c r="O395" s="8"/>
      <c r="P395" s="8"/>
      <c r="Q395" s="8"/>
      <c r="R395" s="8"/>
      <c r="S395" s="8"/>
      <c r="T395" s="8"/>
      <c r="U395" s="8"/>
      <c r="V395" s="8"/>
      <c r="W395" s="3"/>
      <c r="X395" s="3"/>
      <c r="Y395" s="3"/>
    </row>
    <row r="396" spans="1:42" ht="97.5" customHeight="1" x14ac:dyDescent="0.6">
      <c r="A396" s="16" t="s">
        <v>16</v>
      </c>
      <c r="B396" s="16" t="s">
        <v>17</v>
      </c>
      <c r="C396" s="230"/>
      <c r="D396" s="243"/>
      <c r="E396" s="16" t="s">
        <v>311</v>
      </c>
      <c r="F396" s="16" t="s">
        <v>312</v>
      </c>
      <c r="G396" s="16" t="s">
        <v>314</v>
      </c>
      <c r="H396" s="239"/>
      <c r="I396" s="241"/>
      <c r="J396" s="241"/>
      <c r="K396" s="235"/>
      <c r="L396" s="238"/>
      <c r="O396" s="8"/>
      <c r="P396" s="8"/>
      <c r="Q396" s="8"/>
      <c r="R396" s="8"/>
      <c r="S396" s="8"/>
      <c r="T396" s="8"/>
      <c r="U396" s="8"/>
      <c r="V396" s="8"/>
      <c r="W396" s="3"/>
      <c r="X396" s="3"/>
      <c r="Y396" s="3"/>
      <c r="AP396" s="1" t="s">
        <v>18</v>
      </c>
    </row>
    <row r="397" spans="1:42" ht="52" x14ac:dyDescent="0.6">
      <c r="A397" s="44">
        <v>1</v>
      </c>
      <c r="B397" s="32" t="s">
        <v>383</v>
      </c>
      <c r="C397" s="107">
        <v>158446.65000000002</v>
      </c>
      <c r="D397" s="103">
        <v>0</v>
      </c>
      <c r="E397" s="103">
        <v>0</v>
      </c>
      <c r="F397" s="111">
        <f>D397-E397</f>
        <v>0</v>
      </c>
      <c r="G397" s="111">
        <f>E397+F397</f>
        <v>0</v>
      </c>
      <c r="H397" s="18">
        <f>IFERROR(D397/C397*100-100,0)</f>
        <v>-100</v>
      </c>
      <c r="I397" s="9">
        <v>0</v>
      </c>
      <c r="J397" s="10">
        <f>IFERROR(I397/#REF!*100,)</f>
        <v>0</v>
      </c>
      <c r="K397" s="28" t="s">
        <v>19</v>
      </c>
      <c r="L397" s="94" t="s">
        <v>19</v>
      </c>
      <c r="O397" s="8"/>
      <c r="P397" s="2"/>
      <c r="Q397" s="3"/>
      <c r="R397" s="3"/>
      <c r="S397" s="3"/>
      <c r="T397" s="3"/>
      <c r="U397" s="3"/>
      <c r="V397" s="3"/>
      <c r="W397" s="3"/>
      <c r="X397" s="3"/>
      <c r="Y397" s="3"/>
      <c r="AP397" s="1" t="s">
        <v>20</v>
      </c>
    </row>
    <row r="398" spans="1:42" ht="78" x14ac:dyDescent="0.6">
      <c r="A398" s="44">
        <v>1</v>
      </c>
      <c r="B398" s="140" t="s">
        <v>381</v>
      </c>
      <c r="C398" s="107">
        <v>5000</v>
      </c>
      <c r="D398" s="104">
        <v>0</v>
      </c>
      <c r="E398" s="104">
        <v>0</v>
      </c>
      <c r="F398" s="146">
        <v>0</v>
      </c>
      <c r="G398" s="111">
        <f t="shared" ref="G398:G399" si="43">E398+F398</f>
        <v>0</v>
      </c>
      <c r="H398" s="18">
        <f t="shared" ref="H398:H399" si="44">IFERROR(D398/C398*100-100,0)</f>
        <v>-100</v>
      </c>
      <c r="I398" s="9">
        <v>0</v>
      </c>
      <c r="J398" s="10">
        <f>IFERROR(I398/#REF!*100,)</f>
        <v>0</v>
      </c>
      <c r="K398" s="28" t="s">
        <v>19</v>
      </c>
      <c r="L398" s="94" t="s">
        <v>19</v>
      </c>
      <c r="M398" s="48"/>
      <c r="P398" s="2"/>
      <c r="Q398" s="3"/>
      <c r="R398" s="3"/>
      <c r="S398" s="3"/>
      <c r="T398" s="3"/>
      <c r="U398" s="3"/>
      <c r="V398" s="3"/>
      <c r="W398" s="3"/>
      <c r="X398" s="3"/>
      <c r="Y398" s="3"/>
      <c r="AP398" s="1" t="s">
        <v>22</v>
      </c>
    </row>
    <row r="399" spans="1:42" ht="78" x14ac:dyDescent="0.6">
      <c r="A399" s="44">
        <v>1</v>
      </c>
      <c r="B399" s="25" t="s">
        <v>382</v>
      </c>
      <c r="C399" s="103">
        <v>30000</v>
      </c>
      <c r="D399" s="104">
        <v>0</v>
      </c>
      <c r="E399" s="104">
        <v>0</v>
      </c>
      <c r="F399" s="146">
        <v>0</v>
      </c>
      <c r="G399" s="111">
        <f t="shared" si="43"/>
        <v>0</v>
      </c>
      <c r="H399" s="18">
        <f t="shared" si="44"/>
        <v>-100</v>
      </c>
      <c r="I399" s="9">
        <v>0</v>
      </c>
      <c r="J399" s="10">
        <f>IFERROR(I399/#REF!*100,)</f>
        <v>0</v>
      </c>
      <c r="K399" s="28" t="s">
        <v>19</v>
      </c>
      <c r="L399" s="94" t="s">
        <v>19</v>
      </c>
      <c r="P399" s="2"/>
      <c r="Q399" s="3"/>
      <c r="R399" s="3"/>
      <c r="S399" s="3"/>
      <c r="T399" s="3"/>
      <c r="U399" s="3"/>
      <c r="V399" s="3"/>
      <c r="W399" s="3"/>
      <c r="X399" s="3"/>
      <c r="Y399" s="3"/>
    </row>
    <row r="400" spans="1:42" s="12" customFormat="1" ht="56.15" customHeight="1" x14ac:dyDescent="0.35">
      <c r="A400" s="228" t="s">
        <v>25</v>
      </c>
      <c r="B400" s="228"/>
      <c r="C400" s="91">
        <f>SUM(C397:C399)</f>
        <v>193446.65000000002</v>
      </c>
      <c r="D400" s="91">
        <f>SUM(D397:D399)</f>
        <v>0</v>
      </c>
      <c r="E400" s="91">
        <f>SUM(E397:E399)</f>
        <v>0</v>
      </c>
      <c r="F400" s="91">
        <f>SUM(F397:F399)</f>
        <v>0</v>
      </c>
      <c r="G400" s="91">
        <f>SUM(G397:G399)</f>
        <v>0</v>
      </c>
      <c r="H400" s="19">
        <f>IFERROR(D400/C400*100-100,0)</f>
        <v>-100</v>
      </c>
      <c r="I400" s="19">
        <f>SUM(I397:I399)</f>
        <v>0</v>
      </c>
      <c r="J400" s="19">
        <f>IFERROR(I400/#REF!*100,)</f>
        <v>0</v>
      </c>
      <c r="K400" s="36"/>
      <c r="L400" s="96">
        <f>SUM(L397:L399)</f>
        <v>0</v>
      </c>
      <c r="M400" s="55"/>
    </row>
    <row r="401" spans="1:42" ht="55.9" customHeight="1" x14ac:dyDescent="0.6">
      <c r="A401" s="141"/>
      <c r="B401" s="141"/>
      <c r="C401" s="141"/>
      <c r="D401" s="141"/>
      <c r="E401" s="141"/>
      <c r="F401" s="141"/>
      <c r="G401" s="141"/>
      <c r="H401" s="141"/>
      <c r="I401" s="141"/>
      <c r="J401" s="141"/>
      <c r="K401" s="52"/>
    </row>
    <row r="402" spans="1:42" ht="97.5" customHeight="1" x14ac:dyDescent="0.6">
      <c r="A402" s="220" t="s">
        <v>1</v>
      </c>
      <c r="B402" s="221"/>
      <c r="C402" s="299" t="s">
        <v>265</v>
      </c>
      <c r="D402" s="300"/>
      <c r="E402" s="300"/>
      <c r="F402" s="300"/>
      <c r="G402" s="300"/>
      <c r="H402" s="301"/>
      <c r="I402" s="159"/>
      <c r="J402" s="159"/>
      <c r="P402" s="2"/>
      <c r="Q402" s="3"/>
      <c r="R402" s="3"/>
      <c r="S402" s="3"/>
      <c r="T402" s="3"/>
      <c r="U402" s="3"/>
      <c r="V402" s="3"/>
      <c r="W402" s="3"/>
      <c r="X402" s="3"/>
      <c r="Y402" s="3"/>
    </row>
    <row r="403" spans="1:42" ht="97.5" customHeight="1" x14ac:dyDescent="0.6">
      <c r="A403" s="221" t="s">
        <v>3</v>
      </c>
      <c r="B403" s="221"/>
      <c r="C403" s="299" t="s">
        <v>43</v>
      </c>
      <c r="D403" s="300"/>
      <c r="E403" s="300"/>
      <c r="F403" s="300"/>
      <c r="G403" s="300"/>
      <c r="H403" s="301"/>
      <c r="I403" s="160"/>
      <c r="J403" s="160"/>
      <c r="X403" s="3"/>
      <c r="Y403" s="3"/>
    </row>
    <row r="404" spans="1:42" s="6" customFormat="1" ht="49.5" customHeight="1" x14ac:dyDescent="0.6">
      <c r="A404" s="20"/>
      <c r="B404" s="4"/>
      <c r="C404" s="106"/>
      <c r="D404" s="106"/>
      <c r="E404" s="106"/>
      <c r="F404" s="106"/>
      <c r="G404" s="106"/>
      <c r="H404" s="5"/>
      <c r="I404" s="155"/>
      <c r="J404" s="155"/>
      <c r="K404" s="27"/>
      <c r="L404" s="95"/>
      <c r="P404" s="7"/>
      <c r="Q404" s="8"/>
      <c r="R404" s="8"/>
      <c r="S404" s="8"/>
      <c r="T404" s="8"/>
      <c r="U404" s="8"/>
      <c r="V404" s="8"/>
      <c r="W404" s="8"/>
      <c r="X404" s="8"/>
      <c r="Y404" s="8"/>
    </row>
    <row r="405" spans="1:42" ht="97.5" customHeight="1" x14ac:dyDescent="0.6">
      <c r="A405" s="223" t="s">
        <v>5</v>
      </c>
      <c r="B405" s="224"/>
      <c r="C405" s="223" t="s">
        <v>6</v>
      </c>
      <c r="D405" s="224"/>
      <c r="E405" s="224"/>
      <c r="F405" s="224"/>
      <c r="G405" s="224"/>
      <c r="H405" s="225"/>
      <c r="I405" s="226" t="s">
        <v>7</v>
      </c>
      <c r="J405" s="227"/>
      <c r="K405" s="233" t="s">
        <v>309</v>
      </c>
      <c r="L405" s="236" t="s">
        <v>9</v>
      </c>
      <c r="O405" s="8"/>
      <c r="P405" s="8"/>
      <c r="Q405" s="8"/>
      <c r="R405" s="8"/>
      <c r="S405" s="8"/>
      <c r="T405" s="8"/>
      <c r="U405" s="8"/>
      <c r="V405" s="8"/>
      <c r="W405" s="3"/>
      <c r="X405" s="3"/>
      <c r="Y405" s="3"/>
    </row>
    <row r="406" spans="1:42" ht="56.15" customHeight="1" x14ac:dyDescent="0.6">
      <c r="A406" s="223" t="s">
        <v>10</v>
      </c>
      <c r="B406" s="224"/>
      <c r="C406" s="229" t="s">
        <v>11</v>
      </c>
      <c r="D406" s="242" t="s">
        <v>310</v>
      </c>
      <c r="E406" s="223" t="s">
        <v>313</v>
      </c>
      <c r="F406" s="224"/>
      <c r="G406" s="225"/>
      <c r="H406" s="239" t="s">
        <v>315</v>
      </c>
      <c r="I406" s="240" t="s">
        <v>14</v>
      </c>
      <c r="J406" s="240" t="s">
        <v>15</v>
      </c>
      <c r="K406" s="234"/>
      <c r="L406" s="237"/>
      <c r="O406" s="8"/>
      <c r="P406" s="8"/>
      <c r="Q406" s="8"/>
      <c r="R406" s="8"/>
      <c r="S406" s="8"/>
      <c r="T406" s="8"/>
      <c r="U406" s="8"/>
      <c r="V406" s="8"/>
      <c r="W406" s="3"/>
      <c r="X406" s="3"/>
      <c r="Y406" s="3"/>
    </row>
    <row r="407" spans="1:42" ht="97.5" customHeight="1" x14ac:dyDescent="0.6">
      <c r="A407" s="16" t="s">
        <v>16</v>
      </c>
      <c r="B407" s="16" t="s">
        <v>17</v>
      </c>
      <c r="C407" s="230"/>
      <c r="D407" s="243"/>
      <c r="E407" s="16" t="s">
        <v>311</v>
      </c>
      <c r="F407" s="16" t="s">
        <v>312</v>
      </c>
      <c r="G407" s="16" t="s">
        <v>314</v>
      </c>
      <c r="H407" s="239"/>
      <c r="I407" s="241"/>
      <c r="J407" s="241"/>
      <c r="K407" s="235"/>
      <c r="L407" s="238"/>
      <c r="O407" s="8"/>
      <c r="P407" s="8"/>
      <c r="Q407" s="8"/>
      <c r="R407" s="8"/>
      <c r="S407" s="8"/>
      <c r="T407" s="8"/>
      <c r="U407" s="8"/>
      <c r="V407" s="8"/>
      <c r="W407" s="3"/>
      <c r="X407" s="3"/>
      <c r="Y407" s="3"/>
      <c r="AP407" s="1" t="s">
        <v>18</v>
      </c>
    </row>
    <row r="408" spans="1:42" ht="52" x14ac:dyDescent="0.6">
      <c r="A408" s="44">
        <v>1</v>
      </c>
      <c r="B408" s="32" t="s">
        <v>384</v>
      </c>
      <c r="C408" s="107">
        <v>158446.65000000002</v>
      </c>
      <c r="D408" s="103">
        <v>0</v>
      </c>
      <c r="E408" s="103">
        <v>0</v>
      </c>
      <c r="F408" s="111">
        <v>113426.83</v>
      </c>
      <c r="G408" s="111">
        <f>E408+F408</f>
        <v>113426.83</v>
      </c>
      <c r="H408" s="18">
        <f>IFERROR(D408/C408*100-100,0)</f>
        <v>-100</v>
      </c>
      <c r="I408" s="9">
        <v>0</v>
      </c>
      <c r="J408" s="10">
        <f>IFERROR(I408/#REF!*100,)</f>
        <v>0</v>
      </c>
      <c r="K408" s="28" t="s">
        <v>19</v>
      </c>
      <c r="L408" s="94" t="s">
        <v>19</v>
      </c>
      <c r="O408" s="8"/>
      <c r="P408" s="2"/>
      <c r="Q408" s="3"/>
      <c r="R408" s="3"/>
      <c r="S408" s="3"/>
      <c r="T408" s="3"/>
      <c r="U408" s="3"/>
      <c r="V408" s="3"/>
      <c r="W408" s="3"/>
      <c r="X408" s="3"/>
      <c r="Y408" s="3"/>
      <c r="AP408" s="1" t="s">
        <v>20</v>
      </c>
    </row>
    <row r="409" spans="1:42" ht="78" x14ac:dyDescent="0.6">
      <c r="A409" s="44">
        <v>1</v>
      </c>
      <c r="B409" s="140" t="s">
        <v>385</v>
      </c>
      <c r="C409" s="107">
        <v>5000</v>
      </c>
      <c r="D409" s="104">
        <v>0</v>
      </c>
      <c r="E409" s="104">
        <v>0</v>
      </c>
      <c r="F409" s="146">
        <f>(83.5*8)</f>
        <v>668</v>
      </c>
      <c r="G409" s="111">
        <f t="shared" ref="G409:G410" si="45">E409+F409</f>
        <v>668</v>
      </c>
      <c r="H409" s="18">
        <f t="shared" ref="H409:H410" si="46">IFERROR(D409/C409*100-100,0)</f>
        <v>-100</v>
      </c>
      <c r="I409" s="9">
        <v>0</v>
      </c>
      <c r="J409" s="10">
        <f>IFERROR(I409/#REF!*100,)</f>
        <v>0</v>
      </c>
      <c r="K409" s="28" t="s">
        <v>19</v>
      </c>
      <c r="L409" s="94" t="s">
        <v>19</v>
      </c>
      <c r="M409" s="48" t="s">
        <v>158</v>
      </c>
      <c r="P409" s="2"/>
      <c r="Q409" s="3"/>
      <c r="R409" s="3"/>
      <c r="S409" s="3"/>
      <c r="T409" s="3"/>
      <c r="U409" s="3"/>
      <c r="V409" s="3"/>
      <c r="W409" s="3"/>
      <c r="X409" s="3"/>
      <c r="Y409" s="3"/>
      <c r="AP409" s="1" t="s">
        <v>22</v>
      </c>
    </row>
    <row r="410" spans="1:42" ht="78" x14ac:dyDescent="0.6">
      <c r="A410" s="44">
        <v>1</v>
      </c>
      <c r="B410" s="25" t="s">
        <v>386</v>
      </c>
      <c r="C410" s="103">
        <v>30000</v>
      </c>
      <c r="D410" s="104">
        <v>0</v>
      </c>
      <c r="E410" s="104">
        <v>0</v>
      </c>
      <c r="F410" s="146">
        <v>500</v>
      </c>
      <c r="G410" s="111">
        <f t="shared" si="45"/>
        <v>500</v>
      </c>
      <c r="H410" s="18">
        <f t="shared" si="46"/>
        <v>-100</v>
      </c>
      <c r="I410" s="9">
        <v>0</v>
      </c>
      <c r="J410" s="10">
        <f>IFERROR(I410/#REF!*100,)</f>
        <v>0</v>
      </c>
      <c r="K410" s="28" t="s">
        <v>19</v>
      </c>
      <c r="L410" s="94" t="s">
        <v>19</v>
      </c>
      <c r="P410" s="2"/>
      <c r="Q410" s="3"/>
      <c r="R410" s="3"/>
      <c r="S410" s="3"/>
      <c r="T410" s="3"/>
      <c r="U410" s="3"/>
      <c r="V410" s="3"/>
      <c r="W410" s="3"/>
      <c r="X410" s="3"/>
      <c r="Y410" s="3"/>
    </row>
    <row r="411" spans="1:42" s="12" customFormat="1" ht="56.15" customHeight="1" x14ac:dyDescent="0.35">
      <c r="A411" s="228" t="s">
        <v>25</v>
      </c>
      <c r="B411" s="228"/>
      <c r="C411" s="91">
        <f>SUM(C408:C410)</f>
        <v>193446.65000000002</v>
      </c>
      <c r="D411" s="91">
        <f>SUM(D408:D410)</f>
        <v>0</v>
      </c>
      <c r="E411" s="91">
        <f>SUM(E408:E410)</f>
        <v>0</v>
      </c>
      <c r="F411" s="91">
        <f>SUM(F408:F410)</f>
        <v>114594.83</v>
      </c>
      <c r="G411" s="91">
        <f>SUM(G408:G410)</f>
        <v>114594.83</v>
      </c>
      <c r="H411" s="19">
        <f>IFERROR(D411/C411*100-100,0)</f>
        <v>-100</v>
      </c>
      <c r="I411" s="19">
        <f>SUM(I408:I410)</f>
        <v>0</v>
      </c>
      <c r="J411" s="19">
        <f>IFERROR(I411/#REF!*100,)</f>
        <v>0</v>
      </c>
      <c r="K411" s="36"/>
      <c r="L411" s="96">
        <f>SUM(L408:L410)</f>
        <v>0</v>
      </c>
      <c r="M411" s="55"/>
    </row>
    <row r="412" spans="1:42" ht="55.9" customHeight="1" x14ac:dyDescent="0.6">
      <c r="A412" s="141"/>
      <c r="B412" s="141"/>
      <c r="C412" s="141"/>
      <c r="D412" s="141"/>
      <c r="E412" s="141"/>
      <c r="F412" s="141"/>
      <c r="G412" s="141"/>
      <c r="H412" s="141"/>
      <c r="I412" s="141"/>
      <c r="J412" s="141"/>
      <c r="K412" s="52"/>
    </row>
    <row r="413" spans="1:42" ht="97.5" customHeight="1" x14ac:dyDescent="0.6">
      <c r="A413" s="220" t="s">
        <v>1</v>
      </c>
      <c r="B413" s="221"/>
      <c r="C413" s="222" t="s">
        <v>78</v>
      </c>
      <c r="D413" s="222"/>
      <c r="E413" s="222"/>
      <c r="F413" s="222"/>
      <c r="G413" s="222"/>
      <c r="H413" s="222"/>
      <c r="I413" s="159"/>
      <c r="J413" s="159"/>
      <c r="P413" s="2"/>
      <c r="Q413" s="3"/>
      <c r="R413" s="3"/>
      <c r="S413" s="3"/>
      <c r="T413" s="3"/>
      <c r="U413" s="3"/>
      <c r="V413" s="3"/>
      <c r="W413" s="3"/>
      <c r="X413" s="3"/>
      <c r="Y413" s="3"/>
    </row>
    <row r="414" spans="1:42" ht="97.5" customHeight="1" x14ac:dyDescent="0.6">
      <c r="A414" s="221" t="s">
        <v>3</v>
      </c>
      <c r="B414" s="221"/>
      <c r="C414" s="222" t="s">
        <v>43</v>
      </c>
      <c r="D414" s="222"/>
      <c r="E414" s="222"/>
      <c r="F414" s="222"/>
      <c r="G414" s="222"/>
      <c r="H414" s="222"/>
      <c r="I414" s="160"/>
      <c r="J414" s="160"/>
      <c r="X414" s="3"/>
      <c r="Y414" s="3"/>
    </row>
    <row r="415" spans="1:42" s="6" customFormat="1" ht="49.5" customHeight="1" x14ac:dyDescent="0.6">
      <c r="A415" s="20"/>
      <c r="B415" s="4"/>
      <c r="C415" s="106"/>
      <c r="D415" s="106"/>
      <c r="E415" s="106"/>
      <c r="F415" s="106"/>
      <c r="G415" s="106"/>
      <c r="H415" s="5"/>
      <c r="I415" s="155"/>
      <c r="J415" s="155"/>
      <c r="K415" s="27"/>
      <c r="L415" s="95"/>
      <c r="P415" s="7"/>
      <c r="Q415" s="8"/>
      <c r="R415" s="8"/>
      <c r="S415" s="8"/>
      <c r="T415" s="8"/>
      <c r="U415" s="8"/>
      <c r="V415" s="8"/>
      <c r="W415" s="8"/>
      <c r="X415" s="8"/>
      <c r="Y415" s="8"/>
    </row>
    <row r="416" spans="1:42" ht="97.5" customHeight="1" x14ac:dyDescent="0.6">
      <c r="A416" s="223" t="s">
        <v>5</v>
      </c>
      <c r="B416" s="224"/>
      <c r="C416" s="223" t="s">
        <v>6</v>
      </c>
      <c r="D416" s="224"/>
      <c r="E416" s="224"/>
      <c r="F416" s="224"/>
      <c r="G416" s="224"/>
      <c r="H416" s="225"/>
      <c r="I416" s="226" t="s">
        <v>7</v>
      </c>
      <c r="J416" s="227"/>
      <c r="K416" s="233" t="s">
        <v>309</v>
      </c>
      <c r="L416" s="236" t="s">
        <v>9</v>
      </c>
      <c r="O416" s="8"/>
      <c r="P416" s="8"/>
      <c r="Q416" s="8"/>
      <c r="R416" s="8"/>
      <c r="S416" s="8"/>
      <c r="T416" s="8"/>
      <c r="U416" s="8"/>
      <c r="V416" s="8"/>
      <c r="W416" s="3"/>
      <c r="X416" s="3"/>
      <c r="Y416" s="3"/>
    </row>
    <row r="417" spans="1:42" ht="56.15" customHeight="1" x14ac:dyDescent="0.6">
      <c r="A417" s="223" t="s">
        <v>10</v>
      </c>
      <c r="B417" s="224"/>
      <c r="C417" s="229" t="s">
        <v>11</v>
      </c>
      <c r="D417" s="242" t="s">
        <v>310</v>
      </c>
      <c r="E417" s="223" t="s">
        <v>313</v>
      </c>
      <c r="F417" s="224"/>
      <c r="G417" s="225"/>
      <c r="H417" s="239" t="s">
        <v>315</v>
      </c>
      <c r="I417" s="240" t="s">
        <v>14</v>
      </c>
      <c r="J417" s="240" t="s">
        <v>15</v>
      </c>
      <c r="K417" s="234"/>
      <c r="L417" s="237"/>
      <c r="O417" s="8"/>
      <c r="P417" s="8"/>
      <c r="Q417" s="8"/>
      <c r="R417" s="8"/>
      <c r="S417" s="8"/>
      <c r="T417" s="8"/>
      <c r="U417" s="8"/>
      <c r="V417" s="8"/>
      <c r="W417" s="3"/>
      <c r="X417" s="3"/>
      <c r="Y417" s="3"/>
    </row>
    <row r="418" spans="1:42" ht="97.5" customHeight="1" x14ac:dyDescent="0.6">
      <c r="A418" s="16" t="s">
        <v>16</v>
      </c>
      <c r="B418" s="16" t="s">
        <v>17</v>
      </c>
      <c r="C418" s="230"/>
      <c r="D418" s="243"/>
      <c r="E418" s="16" t="s">
        <v>311</v>
      </c>
      <c r="F418" s="16" t="s">
        <v>312</v>
      </c>
      <c r="G418" s="16" t="s">
        <v>314</v>
      </c>
      <c r="H418" s="239"/>
      <c r="I418" s="241"/>
      <c r="J418" s="241"/>
      <c r="K418" s="235"/>
      <c r="L418" s="238"/>
      <c r="O418" s="8"/>
      <c r="P418" s="8"/>
      <c r="Q418" s="8"/>
      <c r="R418" s="8"/>
      <c r="S418" s="8"/>
      <c r="T418" s="8"/>
      <c r="U418" s="8"/>
      <c r="V418" s="8"/>
      <c r="W418" s="3"/>
      <c r="X418" s="3"/>
      <c r="Y418" s="3"/>
      <c r="AP418" s="1" t="s">
        <v>18</v>
      </c>
    </row>
    <row r="419" spans="1:42" ht="104" x14ac:dyDescent="0.6">
      <c r="A419" s="38">
        <v>1</v>
      </c>
      <c r="B419" s="25" t="s">
        <v>387</v>
      </c>
      <c r="C419" s="107">
        <v>521409.82</v>
      </c>
      <c r="D419" s="103">
        <v>545443.29</v>
      </c>
      <c r="E419" s="103">
        <v>218097.62</v>
      </c>
      <c r="F419" s="111">
        <v>293738.71999999997</v>
      </c>
      <c r="G419" s="111">
        <f>E419+F419</f>
        <v>511836.33999999997</v>
      </c>
      <c r="H419" s="18">
        <f t="shared" ref="H419:H423" si="47">IFERROR(D419/C419*100-100,0)</f>
        <v>4.6093243890189939</v>
      </c>
      <c r="I419" s="9">
        <v>0</v>
      </c>
      <c r="J419" s="10">
        <f>IFERROR(I419/#REF!*100,)</f>
        <v>0</v>
      </c>
      <c r="K419" s="28" t="s">
        <v>19</v>
      </c>
      <c r="L419" s="94" t="s">
        <v>19</v>
      </c>
      <c r="M419" s="48"/>
      <c r="O419" s="8"/>
      <c r="P419" s="2"/>
      <c r="Q419" s="3"/>
      <c r="R419" s="3"/>
      <c r="S419" s="3"/>
      <c r="T419" s="3"/>
      <c r="U419" s="3"/>
      <c r="V419" s="3"/>
      <c r="W419" s="3"/>
      <c r="X419" s="3"/>
      <c r="Y419" s="3"/>
      <c r="AP419" s="1" t="s">
        <v>20</v>
      </c>
    </row>
    <row r="420" spans="1:42" ht="78" x14ac:dyDescent="0.6">
      <c r="A420" s="38">
        <v>1</v>
      </c>
      <c r="B420" s="25" t="s">
        <v>388</v>
      </c>
      <c r="C420" s="103">
        <v>15156.35</v>
      </c>
      <c r="D420" s="104">
        <v>10000</v>
      </c>
      <c r="E420" s="104">
        <v>6799.52</v>
      </c>
      <c r="F420" s="146">
        <f>10000+(83.5*8)</f>
        <v>10668</v>
      </c>
      <c r="G420" s="111">
        <f t="shared" ref="G420:G422" si="48">E420+F420</f>
        <v>17467.52</v>
      </c>
      <c r="H420" s="18">
        <f t="shared" si="47"/>
        <v>-34.021053881706351</v>
      </c>
      <c r="I420" s="9">
        <v>0</v>
      </c>
      <c r="J420" s="10">
        <f>IFERROR(I420/#REF!*100,)</f>
        <v>0</v>
      </c>
      <c r="K420" s="28" t="s">
        <v>19</v>
      </c>
      <c r="L420" s="94" t="s">
        <v>19</v>
      </c>
      <c r="M420" s="48" t="s">
        <v>289</v>
      </c>
      <c r="P420" s="2"/>
      <c r="Q420" s="3"/>
      <c r="R420" s="3"/>
      <c r="S420" s="3"/>
      <c r="T420" s="3"/>
      <c r="U420" s="3"/>
      <c r="V420" s="3"/>
      <c r="W420" s="3"/>
      <c r="X420" s="3"/>
      <c r="Y420" s="3"/>
      <c r="AP420" s="1" t="s">
        <v>22</v>
      </c>
    </row>
    <row r="421" spans="1:42" ht="130" x14ac:dyDescent="0.6">
      <c r="A421" s="38">
        <v>1</v>
      </c>
      <c r="B421" s="32" t="s">
        <v>389</v>
      </c>
      <c r="C421" s="103">
        <v>22933.54</v>
      </c>
      <c r="D421" s="103">
        <v>10000</v>
      </c>
      <c r="E421" s="103">
        <v>0</v>
      </c>
      <c r="F421" s="111">
        <f>D421-E421</f>
        <v>10000</v>
      </c>
      <c r="G421" s="111">
        <f t="shared" si="48"/>
        <v>10000</v>
      </c>
      <c r="H421" s="18">
        <f t="shared" si="47"/>
        <v>-56.395741782559519</v>
      </c>
      <c r="I421" s="9">
        <v>0</v>
      </c>
      <c r="J421" s="10">
        <f>IFERROR(I421/#REF!*100,)</f>
        <v>0</v>
      </c>
      <c r="K421" s="28" t="s">
        <v>19</v>
      </c>
      <c r="L421" s="94" t="s">
        <v>19</v>
      </c>
      <c r="P421" s="2"/>
      <c r="Q421" s="3"/>
      <c r="R421" s="3"/>
      <c r="S421" s="3"/>
      <c r="T421" s="3"/>
      <c r="U421" s="3"/>
      <c r="V421" s="3"/>
      <c r="W421" s="3"/>
      <c r="X421" s="3"/>
      <c r="Y421" s="3"/>
    </row>
    <row r="422" spans="1:42" ht="78" x14ac:dyDescent="0.6">
      <c r="A422" s="30">
        <v>1</v>
      </c>
      <c r="B422" s="217" t="s">
        <v>390</v>
      </c>
      <c r="C422" s="103">
        <v>0</v>
      </c>
      <c r="D422" s="103">
        <v>15000</v>
      </c>
      <c r="E422" s="103">
        <v>0</v>
      </c>
      <c r="F422" s="111">
        <f>D422-E422</f>
        <v>15000</v>
      </c>
      <c r="G422" s="111">
        <f t="shared" si="48"/>
        <v>15000</v>
      </c>
      <c r="H422" s="18">
        <f t="shared" si="47"/>
        <v>0</v>
      </c>
      <c r="I422" s="9">
        <v>0</v>
      </c>
      <c r="J422" s="10">
        <f>IFERROR(I422/#REF!*100,)</f>
        <v>0</v>
      </c>
      <c r="K422" s="28" t="s">
        <v>19</v>
      </c>
      <c r="L422" s="94" t="s">
        <v>19</v>
      </c>
      <c r="P422" s="2"/>
      <c r="Q422" s="3"/>
      <c r="R422" s="3"/>
      <c r="S422" s="3"/>
      <c r="T422" s="3"/>
      <c r="U422" s="3"/>
      <c r="V422" s="3"/>
      <c r="W422" s="3"/>
      <c r="X422" s="3"/>
      <c r="Y422" s="3"/>
    </row>
    <row r="423" spans="1:42" s="12" customFormat="1" ht="56.15" customHeight="1" x14ac:dyDescent="0.35">
      <c r="A423" s="228" t="s">
        <v>25</v>
      </c>
      <c r="B423" s="228"/>
      <c r="C423" s="91">
        <f>SUM(C419:C422)</f>
        <v>559499.71000000008</v>
      </c>
      <c r="D423" s="91">
        <f>SUM(D419:D422)</f>
        <v>580443.29</v>
      </c>
      <c r="E423" s="91">
        <f>SUM(E419:E422)</f>
        <v>224897.13999999998</v>
      </c>
      <c r="F423" s="91">
        <f>SUM(F419:F422)</f>
        <v>329406.71999999997</v>
      </c>
      <c r="G423" s="91">
        <f>SUM(G419:G422)</f>
        <v>554303.86</v>
      </c>
      <c r="H423" s="19">
        <f t="shared" si="47"/>
        <v>3.7432691430706768</v>
      </c>
      <c r="I423" s="19">
        <f>SUM(I419:I422)</f>
        <v>0</v>
      </c>
      <c r="J423" s="19">
        <f>IFERROR(I423/#REF!*100,)</f>
        <v>0</v>
      </c>
      <c r="K423" s="36"/>
      <c r="L423" s="96">
        <f>SUM(L419:L422)</f>
        <v>0</v>
      </c>
      <c r="M423" s="55"/>
    </row>
    <row r="424" spans="1:42" ht="55.9" customHeight="1" x14ac:dyDescent="0.6">
      <c r="A424" s="141"/>
      <c r="B424" s="141"/>
      <c r="C424" s="141"/>
      <c r="D424" s="141"/>
      <c r="E424" s="141"/>
      <c r="F424" s="141"/>
      <c r="G424" s="141"/>
      <c r="H424" s="141"/>
      <c r="I424" s="141"/>
      <c r="J424" s="141"/>
      <c r="K424" s="52"/>
    </row>
    <row r="425" spans="1:42" ht="55" customHeight="1" x14ac:dyDescent="0.6">
      <c r="A425" s="220" t="s">
        <v>1</v>
      </c>
      <c r="B425" s="221"/>
      <c r="C425" s="222" t="s">
        <v>118</v>
      </c>
      <c r="D425" s="222"/>
      <c r="E425" s="222"/>
      <c r="F425" s="222"/>
      <c r="G425" s="222"/>
      <c r="H425" s="222"/>
      <c r="I425" s="159"/>
      <c r="J425" s="159"/>
    </row>
    <row r="426" spans="1:42" ht="94" customHeight="1" x14ac:dyDescent="0.6">
      <c r="A426" s="221" t="s">
        <v>3</v>
      </c>
      <c r="B426" s="221"/>
      <c r="C426" s="222" t="s">
        <v>43</v>
      </c>
      <c r="D426" s="222"/>
      <c r="E426" s="222"/>
      <c r="F426" s="222"/>
      <c r="G426" s="222"/>
      <c r="H426" s="222"/>
      <c r="I426" s="160"/>
      <c r="J426" s="160"/>
    </row>
    <row r="427" spans="1:42" x14ac:dyDescent="0.6">
      <c r="A427" s="20"/>
      <c r="B427" s="4"/>
      <c r="C427" s="106"/>
      <c r="D427" s="106"/>
      <c r="E427" s="106"/>
      <c r="F427" s="106"/>
      <c r="G427" s="106"/>
      <c r="H427" s="5"/>
      <c r="I427" s="155"/>
      <c r="J427" s="155"/>
      <c r="K427" s="27"/>
      <c r="L427" s="95"/>
    </row>
    <row r="428" spans="1:42" ht="26.15" customHeight="1" x14ac:dyDescent="0.6">
      <c r="A428" s="223" t="s">
        <v>5</v>
      </c>
      <c r="B428" s="224"/>
      <c r="C428" s="223" t="s">
        <v>6</v>
      </c>
      <c r="D428" s="224"/>
      <c r="E428" s="224"/>
      <c r="F428" s="224"/>
      <c r="G428" s="224"/>
      <c r="H428" s="225"/>
      <c r="I428" s="226" t="s">
        <v>7</v>
      </c>
      <c r="J428" s="227"/>
      <c r="K428" s="233" t="s">
        <v>309</v>
      </c>
      <c r="L428" s="236" t="s">
        <v>9</v>
      </c>
    </row>
    <row r="429" spans="1:42" ht="26" customHeight="1" x14ac:dyDescent="0.6">
      <c r="A429" s="223" t="s">
        <v>10</v>
      </c>
      <c r="B429" s="224"/>
      <c r="C429" s="229" t="s">
        <v>11</v>
      </c>
      <c r="D429" s="242" t="s">
        <v>310</v>
      </c>
      <c r="E429" s="223" t="s">
        <v>313</v>
      </c>
      <c r="F429" s="224"/>
      <c r="G429" s="225"/>
      <c r="H429" s="239" t="s">
        <v>315</v>
      </c>
      <c r="I429" s="240" t="s">
        <v>14</v>
      </c>
      <c r="J429" s="240" t="s">
        <v>15</v>
      </c>
      <c r="K429" s="234"/>
      <c r="L429" s="237"/>
    </row>
    <row r="430" spans="1:42" ht="78" x14ac:dyDescent="0.6">
      <c r="A430" s="16" t="s">
        <v>16</v>
      </c>
      <c r="B430" s="16" t="s">
        <v>17</v>
      </c>
      <c r="C430" s="230"/>
      <c r="D430" s="243"/>
      <c r="E430" s="16" t="s">
        <v>311</v>
      </c>
      <c r="F430" s="16" t="s">
        <v>312</v>
      </c>
      <c r="G430" s="16" t="s">
        <v>314</v>
      </c>
      <c r="H430" s="239"/>
      <c r="I430" s="241"/>
      <c r="J430" s="241"/>
      <c r="K430" s="235"/>
      <c r="L430" s="238"/>
    </row>
    <row r="431" spans="1:42" ht="78" x14ac:dyDescent="0.6">
      <c r="A431" s="22">
        <v>1</v>
      </c>
      <c r="B431" s="17" t="s">
        <v>119</v>
      </c>
      <c r="C431" s="104">
        <v>0</v>
      </c>
      <c r="D431" s="104">
        <v>200000</v>
      </c>
      <c r="E431" s="104">
        <v>0</v>
      </c>
      <c r="F431" s="146">
        <f>D431</f>
        <v>200000</v>
      </c>
      <c r="G431" s="146">
        <f>E431+F431</f>
        <v>200000</v>
      </c>
      <c r="H431" s="18">
        <f>IFERROR(D431/C431*100-100,0)</f>
        <v>0</v>
      </c>
      <c r="I431" s="9">
        <v>0</v>
      </c>
      <c r="J431" s="10">
        <f>IFERROR(I431/#REF!*100,)</f>
        <v>0</v>
      </c>
      <c r="K431" s="28" t="s">
        <v>19</v>
      </c>
      <c r="L431" s="94">
        <f>D431</f>
        <v>200000</v>
      </c>
    </row>
    <row r="432" spans="1:42" x14ac:dyDescent="0.6">
      <c r="A432" s="228" t="s">
        <v>25</v>
      </c>
      <c r="B432" s="228"/>
      <c r="C432" s="91">
        <f>SUM(C431:C431)</f>
        <v>0</v>
      </c>
      <c r="D432" s="91">
        <f>SUM(D431:D431)</f>
        <v>200000</v>
      </c>
      <c r="E432" s="91">
        <v>0</v>
      </c>
      <c r="F432" s="91">
        <f>F431</f>
        <v>200000</v>
      </c>
      <c r="G432" s="91">
        <f>SUM(G431)</f>
        <v>200000</v>
      </c>
      <c r="H432" s="19">
        <f>IFERROR(D432/C432*100-100,0)</f>
        <v>0</v>
      </c>
      <c r="I432" s="19">
        <f>SUM(I431:I431)</f>
        <v>0</v>
      </c>
      <c r="J432" s="19">
        <f>IFERROR(I432/#REF!*100,)</f>
        <v>0</v>
      </c>
      <c r="K432" s="36">
        <v>0</v>
      </c>
      <c r="L432" s="96">
        <f>SUM(L431:L431)</f>
        <v>200000</v>
      </c>
    </row>
    <row r="433" spans="1:42" ht="56.15" customHeight="1" x14ac:dyDescent="0.6">
      <c r="A433" s="244"/>
      <c r="B433" s="244"/>
      <c r="C433" s="244"/>
      <c r="D433" s="244"/>
      <c r="E433" s="244"/>
      <c r="F433" s="244"/>
      <c r="G433" s="244"/>
      <c r="H433" s="244"/>
      <c r="I433" s="245"/>
      <c r="J433" s="245"/>
      <c r="M433" s="14"/>
      <c r="N433" s="6"/>
    </row>
    <row r="434" spans="1:42" ht="97.5" customHeight="1" x14ac:dyDescent="0.6">
      <c r="A434" s="220" t="s">
        <v>1</v>
      </c>
      <c r="B434" s="221"/>
      <c r="C434" s="222" t="s">
        <v>79</v>
      </c>
      <c r="D434" s="222"/>
      <c r="E434" s="222"/>
      <c r="F434" s="222"/>
      <c r="G434" s="222"/>
      <c r="H434" s="222"/>
      <c r="I434" s="159"/>
      <c r="J434" s="159"/>
      <c r="P434" s="2"/>
      <c r="Q434" s="3"/>
      <c r="R434" s="3"/>
      <c r="S434" s="3"/>
      <c r="T434" s="3"/>
      <c r="U434" s="3"/>
      <c r="V434" s="3"/>
      <c r="W434" s="3"/>
      <c r="X434" s="3"/>
      <c r="Y434" s="3"/>
    </row>
    <row r="435" spans="1:42" ht="97.5" customHeight="1" x14ac:dyDescent="0.6">
      <c r="A435" s="221" t="s">
        <v>3</v>
      </c>
      <c r="B435" s="221"/>
      <c r="C435" s="222" t="s">
        <v>80</v>
      </c>
      <c r="D435" s="222"/>
      <c r="E435" s="222"/>
      <c r="F435" s="222"/>
      <c r="G435" s="222"/>
      <c r="H435" s="222"/>
      <c r="I435" s="160"/>
      <c r="J435" s="160"/>
      <c r="X435" s="3"/>
      <c r="Y435" s="3"/>
    </row>
    <row r="436" spans="1:42" s="6" customFormat="1" ht="49.5" customHeight="1" x14ac:dyDescent="0.6">
      <c r="A436" s="20"/>
      <c r="B436" s="4"/>
      <c r="C436" s="106"/>
      <c r="D436" s="106"/>
      <c r="E436" s="106"/>
      <c r="F436" s="106"/>
      <c r="G436" s="106"/>
      <c r="H436" s="5"/>
      <c r="I436" s="155"/>
      <c r="J436" s="155"/>
      <c r="K436" s="27"/>
      <c r="L436" s="95"/>
      <c r="P436" s="7"/>
      <c r="Q436" s="8"/>
      <c r="R436" s="8"/>
      <c r="S436" s="8"/>
      <c r="T436" s="8"/>
      <c r="U436" s="8"/>
      <c r="V436" s="8"/>
      <c r="W436" s="8"/>
      <c r="X436" s="8"/>
      <c r="Y436" s="8"/>
    </row>
    <row r="437" spans="1:42" ht="97.5" customHeight="1" x14ac:dyDescent="0.6">
      <c r="A437" s="223" t="s">
        <v>5</v>
      </c>
      <c r="B437" s="224"/>
      <c r="C437" s="223" t="s">
        <v>6</v>
      </c>
      <c r="D437" s="224"/>
      <c r="E437" s="224"/>
      <c r="F437" s="224"/>
      <c r="G437" s="224"/>
      <c r="H437" s="225"/>
      <c r="I437" s="226" t="s">
        <v>7</v>
      </c>
      <c r="J437" s="227"/>
      <c r="K437" s="233" t="s">
        <v>309</v>
      </c>
      <c r="L437" s="236" t="s">
        <v>9</v>
      </c>
      <c r="O437" s="8"/>
      <c r="P437" s="8"/>
      <c r="Q437" s="8"/>
      <c r="R437" s="8"/>
      <c r="S437" s="8"/>
      <c r="T437" s="8"/>
      <c r="U437" s="8"/>
      <c r="V437" s="8"/>
      <c r="W437" s="3"/>
      <c r="X437" s="3"/>
      <c r="Y437" s="3"/>
    </row>
    <row r="438" spans="1:42" ht="56.15" customHeight="1" x14ac:dyDescent="0.6">
      <c r="A438" s="223" t="s">
        <v>10</v>
      </c>
      <c r="B438" s="224"/>
      <c r="C438" s="229" t="s">
        <v>11</v>
      </c>
      <c r="D438" s="242" t="s">
        <v>310</v>
      </c>
      <c r="E438" s="223" t="s">
        <v>313</v>
      </c>
      <c r="F438" s="224"/>
      <c r="G438" s="225"/>
      <c r="H438" s="239" t="s">
        <v>315</v>
      </c>
      <c r="I438" s="240" t="s">
        <v>14</v>
      </c>
      <c r="J438" s="240" t="s">
        <v>15</v>
      </c>
      <c r="K438" s="234"/>
      <c r="L438" s="237"/>
      <c r="O438" s="8"/>
      <c r="P438" s="8"/>
      <c r="Q438" s="8"/>
      <c r="R438" s="8"/>
      <c r="S438" s="8"/>
      <c r="T438" s="8"/>
      <c r="U438" s="8"/>
      <c r="V438" s="8"/>
      <c r="W438" s="3"/>
      <c r="X438" s="3"/>
      <c r="Y438" s="3"/>
    </row>
    <row r="439" spans="1:42" ht="97.5" customHeight="1" x14ac:dyDescent="0.6">
      <c r="A439" s="16" t="s">
        <v>16</v>
      </c>
      <c r="B439" s="16" t="s">
        <v>17</v>
      </c>
      <c r="C439" s="230"/>
      <c r="D439" s="243"/>
      <c r="E439" s="16" t="s">
        <v>311</v>
      </c>
      <c r="F439" s="16" t="s">
        <v>312</v>
      </c>
      <c r="G439" s="16" t="s">
        <v>314</v>
      </c>
      <c r="H439" s="239"/>
      <c r="I439" s="241"/>
      <c r="J439" s="241"/>
      <c r="K439" s="235"/>
      <c r="L439" s="238"/>
      <c r="O439" s="8"/>
      <c r="P439" s="8"/>
      <c r="Q439" s="8"/>
      <c r="R439" s="8"/>
      <c r="S439" s="8"/>
      <c r="T439" s="8"/>
      <c r="U439" s="8"/>
      <c r="V439" s="8"/>
      <c r="W439" s="3"/>
      <c r="X439" s="3"/>
      <c r="Y439" s="3"/>
      <c r="AP439" s="1" t="s">
        <v>18</v>
      </c>
    </row>
    <row r="440" spans="1:42" ht="55.9" customHeight="1" x14ac:dyDescent="0.6">
      <c r="A440" s="33">
        <v>1</v>
      </c>
      <c r="B440" s="25" t="s">
        <v>391</v>
      </c>
      <c r="C440" s="107">
        <v>100000</v>
      </c>
      <c r="D440" s="104">
        <v>200000</v>
      </c>
      <c r="E440" s="104">
        <v>0</v>
      </c>
      <c r="F440" s="146">
        <v>500000</v>
      </c>
      <c r="G440" s="146">
        <f>E440+F440</f>
        <v>500000</v>
      </c>
      <c r="H440" s="18">
        <f>IFERROR(D440/C440*100-100,0)</f>
        <v>100</v>
      </c>
      <c r="I440" s="9">
        <v>0</v>
      </c>
      <c r="J440" s="10">
        <f>IFERROR(I440/#REF!*100,)</f>
        <v>0</v>
      </c>
      <c r="K440" s="28" t="s">
        <v>81</v>
      </c>
      <c r="L440" s="94">
        <f>F440</f>
        <v>500000</v>
      </c>
      <c r="O440" s="8"/>
      <c r="P440" s="2"/>
      <c r="Q440" s="3"/>
      <c r="R440" s="3"/>
      <c r="S440" s="3"/>
      <c r="T440" s="3"/>
      <c r="U440" s="3"/>
      <c r="V440" s="3"/>
      <c r="W440" s="3"/>
      <c r="X440" s="3"/>
      <c r="Y440" s="3"/>
      <c r="AP440" s="1" t="s">
        <v>20</v>
      </c>
    </row>
    <row r="441" spans="1:42" s="147" customFormat="1" ht="55.9" customHeight="1" x14ac:dyDescent="0.6">
      <c r="A441" s="164">
        <v>1</v>
      </c>
      <c r="B441" s="148" t="s">
        <v>82</v>
      </c>
      <c r="C441" s="149">
        <v>500000</v>
      </c>
      <c r="D441" s="149">
        <v>200000</v>
      </c>
      <c r="E441" s="149">
        <v>0</v>
      </c>
      <c r="F441" s="150">
        <v>500000</v>
      </c>
      <c r="G441" s="150">
        <f t="shared" ref="G441:G444" si="49">E441+F441</f>
        <v>500000</v>
      </c>
      <c r="H441" s="18">
        <f>IFERROR(D441/C441*100-100,0)</f>
        <v>-60</v>
      </c>
      <c r="I441" s="151">
        <v>0</v>
      </c>
      <c r="J441" s="152">
        <f>IFERROR(I441/#REF!*100,)</f>
        <v>0</v>
      </c>
      <c r="K441" s="153" t="s">
        <v>83</v>
      </c>
      <c r="L441" s="154">
        <f>F441</f>
        <v>500000</v>
      </c>
    </row>
    <row r="442" spans="1:42" s="147" customFormat="1" ht="104" hidden="1" x14ac:dyDescent="0.6">
      <c r="A442" s="164">
        <v>1</v>
      </c>
      <c r="B442" s="148" t="s">
        <v>84</v>
      </c>
      <c r="C442" s="149">
        <v>5000</v>
      </c>
      <c r="D442" s="149">
        <v>0</v>
      </c>
      <c r="E442" s="149">
        <v>0</v>
      </c>
      <c r="F442" s="150">
        <f>D442-E442</f>
        <v>0</v>
      </c>
      <c r="G442" s="150">
        <f t="shared" si="49"/>
        <v>0</v>
      </c>
      <c r="H442" s="18">
        <f t="shared" ref="H442:H444" si="50">IFERROR(D442/C442*100-100,0)</f>
        <v>-100</v>
      </c>
      <c r="I442" s="151"/>
      <c r="J442" s="152">
        <f>IFERROR(I442/#REF!*100,)</f>
        <v>0</v>
      </c>
      <c r="K442" s="153" t="s">
        <v>85</v>
      </c>
      <c r="L442" s="154" t="s">
        <v>19</v>
      </c>
    </row>
    <row r="443" spans="1:42" s="147" customFormat="1" x14ac:dyDescent="0.6">
      <c r="A443" s="164">
        <v>1</v>
      </c>
      <c r="B443" s="148" t="s">
        <v>392</v>
      </c>
      <c r="C443" s="149"/>
      <c r="D443" s="149">
        <v>0</v>
      </c>
      <c r="E443" s="149">
        <v>0</v>
      </c>
      <c r="F443" s="150">
        <v>150000</v>
      </c>
      <c r="G443" s="150">
        <f t="shared" si="49"/>
        <v>150000</v>
      </c>
      <c r="H443" s="18">
        <f t="shared" si="50"/>
        <v>0</v>
      </c>
      <c r="I443" s="151">
        <v>0</v>
      </c>
      <c r="J443" s="152">
        <v>0</v>
      </c>
      <c r="K443" s="153" t="s">
        <v>19</v>
      </c>
      <c r="L443" s="154">
        <f>F443</f>
        <v>150000</v>
      </c>
    </row>
    <row r="444" spans="1:42" s="147" customFormat="1" ht="52" x14ac:dyDescent="0.6">
      <c r="A444" s="164">
        <v>1</v>
      </c>
      <c r="B444" s="148" t="s">
        <v>290</v>
      </c>
      <c r="C444" s="149"/>
      <c r="D444" s="149">
        <v>0</v>
      </c>
      <c r="E444" s="149">
        <v>0</v>
      </c>
      <c r="F444" s="150">
        <v>20000</v>
      </c>
      <c r="G444" s="150">
        <f t="shared" si="49"/>
        <v>20000</v>
      </c>
      <c r="H444" s="18">
        <f t="shared" si="50"/>
        <v>0</v>
      </c>
      <c r="I444" s="151">
        <v>0</v>
      </c>
      <c r="J444" s="152">
        <v>0</v>
      </c>
      <c r="K444" s="153" t="s">
        <v>19</v>
      </c>
      <c r="L444" s="154">
        <f>F444</f>
        <v>20000</v>
      </c>
    </row>
    <row r="445" spans="1:42" s="12" customFormat="1" ht="56.15" customHeight="1" x14ac:dyDescent="0.35">
      <c r="A445" s="228" t="s">
        <v>25</v>
      </c>
      <c r="B445" s="228"/>
      <c r="C445" s="91">
        <f>SUM(C440:C442)</f>
        <v>605000</v>
      </c>
      <c r="D445" s="91">
        <f>SUM(D440:D444)</f>
        <v>400000</v>
      </c>
      <c r="E445" s="91">
        <f>SUM(E440:E444)</f>
        <v>0</v>
      </c>
      <c r="F445" s="91">
        <f>SUM(F440:F444)</f>
        <v>1170000</v>
      </c>
      <c r="G445" s="91">
        <f>SUM(G440:G444)</f>
        <v>1170000</v>
      </c>
      <c r="H445" s="19">
        <f>IFERROR(D445/C445*100-100,0)</f>
        <v>-33.88429752066115</v>
      </c>
      <c r="I445" s="19">
        <f>SUM(I440:I442)</f>
        <v>0</v>
      </c>
      <c r="J445" s="19">
        <f>IFERROR(I445/#REF!*100,)</f>
        <v>0</v>
      </c>
      <c r="K445" s="36"/>
      <c r="L445" s="96">
        <f>SUM(L440:L444)</f>
        <v>1170000</v>
      </c>
      <c r="M445" s="55" t="s">
        <v>291</v>
      </c>
    </row>
    <row r="446" spans="1:42" ht="55.9" customHeight="1" x14ac:dyDescent="0.6">
      <c r="A446" s="244"/>
      <c r="B446" s="244"/>
      <c r="C446" s="244"/>
      <c r="D446" s="244"/>
      <c r="E446" s="244"/>
      <c r="F446" s="244"/>
      <c r="G446" s="244"/>
      <c r="H446" s="244"/>
      <c r="I446" s="245"/>
      <c r="J446" s="245"/>
    </row>
    <row r="447" spans="1:42" ht="97.5" customHeight="1" x14ac:dyDescent="0.6">
      <c r="A447" s="220" t="s">
        <v>1</v>
      </c>
      <c r="B447" s="221"/>
      <c r="C447" s="222" t="s">
        <v>266</v>
      </c>
      <c r="D447" s="222"/>
      <c r="E447" s="222"/>
      <c r="F447" s="222"/>
      <c r="G447" s="222"/>
      <c r="H447" s="222"/>
      <c r="I447" s="159"/>
      <c r="J447" s="159"/>
      <c r="P447" s="2"/>
      <c r="Q447" s="3"/>
      <c r="R447" s="3"/>
      <c r="S447" s="3"/>
      <c r="T447" s="3"/>
      <c r="U447" s="3"/>
      <c r="V447" s="3"/>
      <c r="W447" s="3"/>
      <c r="X447" s="3"/>
      <c r="Y447" s="3"/>
    </row>
    <row r="448" spans="1:42" ht="97.5" customHeight="1" x14ac:dyDescent="0.6">
      <c r="A448" s="221" t="s">
        <v>3</v>
      </c>
      <c r="B448" s="221"/>
      <c r="C448" s="222" t="s">
        <v>30</v>
      </c>
      <c r="D448" s="222"/>
      <c r="E448" s="222"/>
      <c r="F448" s="222"/>
      <c r="G448" s="222"/>
      <c r="H448" s="222"/>
      <c r="I448" s="160"/>
      <c r="J448" s="160"/>
      <c r="X448" s="3"/>
      <c r="Y448" s="3"/>
    </row>
    <row r="449" spans="1:42" s="6" customFormat="1" ht="49.5" customHeight="1" x14ac:dyDescent="0.6">
      <c r="A449" s="20"/>
      <c r="B449" s="4"/>
      <c r="C449" s="106"/>
      <c r="D449" s="106"/>
      <c r="E449" s="106"/>
      <c r="F449" s="106"/>
      <c r="G449" s="106"/>
      <c r="H449" s="5"/>
      <c r="I449" s="155"/>
      <c r="J449" s="155"/>
      <c r="K449" s="27"/>
      <c r="L449" s="95"/>
      <c r="P449" s="7"/>
      <c r="Q449" s="8"/>
      <c r="R449" s="8"/>
      <c r="S449" s="8"/>
      <c r="T449" s="8"/>
      <c r="U449" s="8"/>
      <c r="V449" s="8"/>
      <c r="W449" s="8"/>
      <c r="X449" s="8"/>
      <c r="Y449" s="8"/>
    </row>
    <row r="450" spans="1:42" ht="97.5" customHeight="1" x14ac:dyDescent="0.6">
      <c r="A450" s="223" t="s">
        <v>5</v>
      </c>
      <c r="B450" s="224"/>
      <c r="C450" s="223" t="s">
        <v>6</v>
      </c>
      <c r="D450" s="224"/>
      <c r="E450" s="224"/>
      <c r="F450" s="224"/>
      <c r="G450" s="224"/>
      <c r="H450" s="225"/>
      <c r="I450" s="226" t="s">
        <v>7</v>
      </c>
      <c r="J450" s="227"/>
      <c r="K450" s="233" t="s">
        <v>309</v>
      </c>
      <c r="L450" s="236" t="s">
        <v>9</v>
      </c>
      <c r="O450" s="8"/>
      <c r="P450" s="8"/>
      <c r="Q450" s="8"/>
      <c r="R450" s="8"/>
      <c r="S450" s="8"/>
      <c r="T450" s="8"/>
      <c r="U450" s="8"/>
      <c r="V450" s="8"/>
      <c r="W450" s="3"/>
      <c r="X450" s="3"/>
      <c r="Y450" s="3"/>
    </row>
    <row r="451" spans="1:42" ht="56.15" customHeight="1" x14ac:dyDescent="0.6">
      <c r="A451" s="223" t="s">
        <v>10</v>
      </c>
      <c r="B451" s="224"/>
      <c r="C451" s="229" t="s">
        <v>11</v>
      </c>
      <c r="D451" s="242" t="s">
        <v>310</v>
      </c>
      <c r="E451" s="223" t="s">
        <v>313</v>
      </c>
      <c r="F451" s="224"/>
      <c r="G451" s="225"/>
      <c r="H451" s="239" t="s">
        <v>315</v>
      </c>
      <c r="I451" s="240" t="s">
        <v>14</v>
      </c>
      <c r="J451" s="240" t="s">
        <v>15</v>
      </c>
      <c r="K451" s="234"/>
      <c r="L451" s="237"/>
      <c r="O451" s="8"/>
      <c r="P451" s="8"/>
      <c r="Q451" s="8"/>
      <c r="R451" s="8"/>
      <c r="S451" s="8"/>
      <c r="T451" s="8"/>
      <c r="U451" s="8"/>
      <c r="V451" s="8"/>
      <c r="W451" s="3"/>
      <c r="X451" s="3"/>
      <c r="Y451" s="3"/>
    </row>
    <row r="452" spans="1:42" ht="97.5" customHeight="1" x14ac:dyDescent="0.6">
      <c r="A452" s="16" t="s">
        <v>16</v>
      </c>
      <c r="B452" s="16" t="s">
        <v>17</v>
      </c>
      <c r="C452" s="230"/>
      <c r="D452" s="243"/>
      <c r="E452" s="16" t="s">
        <v>311</v>
      </c>
      <c r="F452" s="16" t="s">
        <v>312</v>
      </c>
      <c r="G452" s="16" t="s">
        <v>314</v>
      </c>
      <c r="H452" s="239"/>
      <c r="I452" s="241"/>
      <c r="J452" s="241"/>
      <c r="K452" s="235"/>
      <c r="L452" s="238"/>
      <c r="O452" s="8"/>
      <c r="P452" s="8"/>
      <c r="Q452" s="8"/>
      <c r="R452" s="8"/>
      <c r="S452" s="8"/>
      <c r="T452" s="8"/>
      <c r="U452" s="8"/>
      <c r="V452" s="8"/>
      <c r="W452" s="3"/>
      <c r="X452" s="3"/>
      <c r="Y452" s="3"/>
      <c r="AP452" s="1" t="s">
        <v>18</v>
      </c>
    </row>
    <row r="453" spans="1:42" ht="52" x14ac:dyDescent="0.6">
      <c r="A453" s="38">
        <v>1</v>
      </c>
      <c r="B453" s="25" t="s">
        <v>393</v>
      </c>
      <c r="C453" s="107">
        <v>1646938.4</v>
      </c>
      <c r="D453" s="103">
        <v>1866086.27</v>
      </c>
      <c r="E453" s="103">
        <v>690614.5</v>
      </c>
      <c r="F453" s="111">
        <v>1318561.5900000001</v>
      </c>
      <c r="G453" s="111">
        <f>E453+F453</f>
        <v>2009176.09</v>
      </c>
      <c r="H453" s="18">
        <f t="shared" ref="H453:H459" si="51">IFERROR(D453/C453*100-100,0)</f>
        <v>13.3063792792736</v>
      </c>
      <c r="I453" s="9">
        <v>0</v>
      </c>
      <c r="J453" s="10">
        <f>IFERROR(I453/#REF!*100,)</f>
        <v>0</v>
      </c>
      <c r="K453" s="28" t="s">
        <v>19</v>
      </c>
      <c r="L453" s="94" t="s">
        <v>19</v>
      </c>
      <c r="O453" s="8"/>
      <c r="P453" s="2"/>
      <c r="Q453" s="3"/>
      <c r="R453" s="3"/>
      <c r="S453" s="3"/>
      <c r="T453" s="3"/>
      <c r="U453" s="3"/>
      <c r="V453" s="3"/>
      <c r="W453" s="3"/>
      <c r="X453" s="3"/>
      <c r="Y453" s="3"/>
      <c r="AP453" s="1" t="s">
        <v>20</v>
      </c>
    </row>
    <row r="454" spans="1:42" ht="78" x14ac:dyDescent="0.6">
      <c r="A454" s="38">
        <v>1</v>
      </c>
      <c r="B454" s="25" t="s">
        <v>394</v>
      </c>
      <c r="C454" s="107">
        <v>5529.1900000000005</v>
      </c>
      <c r="D454" s="104">
        <v>10000</v>
      </c>
      <c r="E454" s="103">
        <v>8440.67</v>
      </c>
      <c r="F454" s="146">
        <f>(1920.5*8)+5000</f>
        <v>20364</v>
      </c>
      <c r="G454" s="111">
        <f t="shared" ref="G454:G458" si="52">E454+F454</f>
        <v>28804.67</v>
      </c>
      <c r="H454" s="18">
        <f t="shared" si="51"/>
        <v>80.858317402729853</v>
      </c>
      <c r="I454" s="9">
        <v>0</v>
      </c>
      <c r="J454" s="10">
        <f>IFERROR(I454/#REF!*100,)</f>
        <v>0</v>
      </c>
      <c r="K454" s="28" t="s">
        <v>19</v>
      </c>
      <c r="L454" s="94" t="s">
        <v>19</v>
      </c>
      <c r="M454" s="3" t="s">
        <v>157</v>
      </c>
      <c r="P454" s="2"/>
      <c r="Q454" s="3"/>
      <c r="R454" s="3"/>
      <c r="S454" s="3"/>
      <c r="T454" s="3"/>
      <c r="U454" s="3"/>
      <c r="V454" s="3"/>
      <c r="W454" s="3"/>
      <c r="X454" s="3"/>
      <c r="Y454" s="3"/>
      <c r="AP454" s="1" t="s">
        <v>22</v>
      </c>
    </row>
    <row r="455" spans="1:42" ht="104" x14ac:dyDescent="0.6">
      <c r="A455" s="38">
        <v>1</v>
      </c>
      <c r="B455" s="25" t="s">
        <v>395</v>
      </c>
      <c r="C455" s="107">
        <v>55000</v>
      </c>
      <c r="D455" s="104">
        <v>20000</v>
      </c>
      <c r="E455" s="103">
        <v>10367.82</v>
      </c>
      <c r="F455" s="146">
        <f>25470+7776</f>
        <v>33246</v>
      </c>
      <c r="G455" s="111">
        <f t="shared" si="52"/>
        <v>43613.82</v>
      </c>
      <c r="H455" s="18">
        <f t="shared" si="51"/>
        <v>-63.636363636363633</v>
      </c>
      <c r="I455" s="9">
        <v>0</v>
      </c>
      <c r="J455" s="10">
        <f>IFERROR(I455/#REF!*100,)</f>
        <v>0</v>
      </c>
      <c r="K455" s="28" t="s">
        <v>19</v>
      </c>
      <c r="L455" s="94" t="s">
        <v>19</v>
      </c>
      <c r="M455" s="1" t="s">
        <v>156</v>
      </c>
      <c r="P455" s="2"/>
      <c r="Q455" s="3"/>
      <c r="R455" s="3"/>
      <c r="S455" s="3"/>
      <c r="T455" s="3"/>
      <c r="U455" s="3"/>
      <c r="V455" s="3"/>
      <c r="W455" s="3"/>
      <c r="X455" s="3"/>
      <c r="Y455" s="3"/>
    </row>
    <row r="456" spans="1:42" ht="52" x14ac:dyDescent="0.6">
      <c r="A456" s="38">
        <v>1</v>
      </c>
      <c r="B456" s="25" t="s">
        <v>396</v>
      </c>
      <c r="C456" s="107">
        <v>7360</v>
      </c>
      <c r="D456" s="104">
        <v>5000</v>
      </c>
      <c r="E456" s="103">
        <v>0</v>
      </c>
      <c r="F456" s="146">
        <v>1000</v>
      </c>
      <c r="G456" s="111">
        <f t="shared" si="52"/>
        <v>1000</v>
      </c>
      <c r="H456" s="18">
        <f t="shared" si="51"/>
        <v>-32.065217391304344</v>
      </c>
      <c r="I456" s="9">
        <v>0</v>
      </c>
      <c r="J456" s="10">
        <f>IFERROR(I456/#REF!*100,)</f>
        <v>0</v>
      </c>
      <c r="K456" s="28" t="s">
        <v>19</v>
      </c>
      <c r="L456" s="94" t="s">
        <v>19</v>
      </c>
      <c r="P456" s="2"/>
      <c r="Q456" s="3"/>
      <c r="R456" s="3"/>
      <c r="S456" s="3"/>
      <c r="T456" s="3"/>
      <c r="U456" s="3"/>
      <c r="V456" s="3"/>
      <c r="W456" s="3"/>
      <c r="X456" s="3"/>
      <c r="Y456" s="3"/>
    </row>
    <row r="457" spans="1:42" ht="52" hidden="1" x14ac:dyDescent="0.6">
      <c r="A457" s="68">
        <v>1</v>
      </c>
      <c r="B457" s="69" t="s">
        <v>87</v>
      </c>
      <c r="C457" s="105">
        <v>7715.9</v>
      </c>
      <c r="D457" s="105">
        <v>0</v>
      </c>
      <c r="E457" s="105">
        <v>0</v>
      </c>
      <c r="F457" s="110">
        <v>0</v>
      </c>
      <c r="G457" s="111">
        <f t="shared" si="52"/>
        <v>0</v>
      </c>
      <c r="H457" s="18">
        <f t="shared" si="51"/>
        <v>-100</v>
      </c>
      <c r="I457" s="77"/>
      <c r="J457" s="10">
        <f>IFERROR(I457/#REF!*100,)</f>
        <v>0</v>
      </c>
      <c r="K457" s="79" t="s">
        <v>19</v>
      </c>
      <c r="L457" s="94" t="s">
        <v>19</v>
      </c>
    </row>
    <row r="458" spans="1:42" ht="255" customHeight="1" x14ac:dyDescent="0.6">
      <c r="A458" s="38">
        <v>1</v>
      </c>
      <c r="B458" s="32" t="s">
        <v>221</v>
      </c>
      <c r="C458" s="107"/>
      <c r="D458" s="104">
        <v>0</v>
      </c>
      <c r="E458" s="103">
        <v>0</v>
      </c>
      <c r="F458" s="111">
        <v>20000</v>
      </c>
      <c r="G458" s="111">
        <f t="shared" si="52"/>
        <v>20000</v>
      </c>
      <c r="H458" s="18">
        <f t="shared" si="51"/>
        <v>0</v>
      </c>
      <c r="I458" s="9">
        <v>0</v>
      </c>
      <c r="J458" s="10">
        <f>IFERROR(I458/#REF!*100,)</f>
        <v>0</v>
      </c>
      <c r="K458" s="28" t="s">
        <v>220</v>
      </c>
      <c r="L458" s="94" t="s">
        <v>19</v>
      </c>
    </row>
    <row r="459" spans="1:42" s="12" customFormat="1" ht="56.15" customHeight="1" x14ac:dyDescent="0.35">
      <c r="A459" s="228" t="s">
        <v>25</v>
      </c>
      <c r="B459" s="228"/>
      <c r="C459" s="91">
        <f>SUM(C453:C457)</f>
        <v>1722543.4899999998</v>
      </c>
      <c r="D459" s="91">
        <f>SUM(D453:D458)</f>
        <v>1901086.27</v>
      </c>
      <c r="E459" s="91">
        <f>SUM(E453:E458)</f>
        <v>709422.99</v>
      </c>
      <c r="F459" s="91">
        <f>SUM(F453:F458)</f>
        <v>1393171.59</v>
      </c>
      <c r="G459" s="91">
        <f>SUM(G453:G458)</f>
        <v>2102594.58</v>
      </c>
      <c r="H459" s="19">
        <f t="shared" si="51"/>
        <v>10.36506660275964</v>
      </c>
      <c r="I459" s="19">
        <f>SUM(I453:I456)</f>
        <v>0</v>
      </c>
      <c r="J459" s="19">
        <f>IFERROR(I459/#REF!*100,)</f>
        <v>0</v>
      </c>
      <c r="K459" s="36"/>
      <c r="L459" s="96">
        <f>SUM(L453:L456)</f>
        <v>0</v>
      </c>
      <c r="M459" s="55"/>
    </row>
    <row r="460" spans="1:42" ht="55.9" customHeight="1" x14ac:dyDescent="0.6">
      <c r="A460" s="244"/>
      <c r="B460" s="244"/>
      <c r="C460" s="244"/>
      <c r="D460" s="244"/>
      <c r="E460" s="244"/>
      <c r="F460" s="244"/>
      <c r="G460" s="244"/>
      <c r="H460" s="244"/>
      <c r="I460" s="245"/>
      <c r="J460" s="245"/>
    </row>
    <row r="461" spans="1:42" ht="97.5" customHeight="1" x14ac:dyDescent="0.6">
      <c r="A461" s="220" t="s">
        <v>1</v>
      </c>
      <c r="B461" s="221"/>
      <c r="C461" s="222" t="s">
        <v>90</v>
      </c>
      <c r="D461" s="222"/>
      <c r="E461" s="222"/>
      <c r="F461" s="222"/>
      <c r="G461" s="222"/>
      <c r="H461" s="222"/>
      <c r="I461" s="159"/>
      <c r="J461" s="159"/>
      <c r="P461" s="2"/>
      <c r="Q461" s="3"/>
      <c r="R461" s="3"/>
      <c r="S461" s="3"/>
      <c r="T461" s="3"/>
      <c r="U461" s="3"/>
      <c r="V461" s="3"/>
      <c r="W461" s="3"/>
      <c r="X461" s="3"/>
      <c r="Y461" s="3"/>
    </row>
    <row r="462" spans="1:42" ht="97.5" customHeight="1" x14ac:dyDescent="0.6">
      <c r="A462" s="221" t="s">
        <v>3</v>
      </c>
      <c r="B462" s="221"/>
      <c r="C462" s="222" t="s">
        <v>30</v>
      </c>
      <c r="D462" s="222"/>
      <c r="E462" s="222"/>
      <c r="F462" s="222"/>
      <c r="G462" s="222"/>
      <c r="H462" s="222"/>
      <c r="I462" s="160"/>
      <c r="J462" s="160"/>
      <c r="X462" s="3"/>
      <c r="Y462" s="3"/>
    </row>
    <row r="463" spans="1:42" s="6" customFormat="1" ht="49.5" customHeight="1" x14ac:dyDescent="0.6">
      <c r="A463" s="20"/>
      <c r="B463" s="4"/>
      <c r="C463" s="106"/>
      <c r="D463" s="106"/>
      <c r="E463" s="106"/>
      <c r="F463" s="106"/>
      <c r="G463" s="106"/>
      <c r="H463" s="5"/>
      <c r="I463" s="155"/>
      <c r="J463" s="155"/>
      <c r="K463" s="27"/>
      <c r="L463" s="95"/>
      <c r="P463" s="7"/>
      <c r="Q463" s="8"/>
      <c r="R463" s="8"/>
      <c r="S463" s="8"/>
      <c r="T463" s="8"/>
      <c r="U463" s="8"/>
      <c r="V463" s="8"/>
      <c r="W463" s="8"/>
      <c r="X463" s="8"/>
      <c r="Y463" s="8"/>
    </row>
    <row r="464" spans="1:42" ht="97.5" customHeight="1" x14ac:dyDescent="0.6">
      <c r="A464" s="223" t="s">
        <v>5</v>
      </c>
      <c r="B464" s="224"/>
      <c r="C464" s="223" t="s">
        <v>6</v>
      </c>
      <c r="D464" s="224"/>
      <c r="E464" s="224"/>
      <c r="F464" s="224"/>
      <c r="G464" s="224"/>
      <c r="H464" s="225"/>
      <c r="I464" s="226" t="s">
        <v>7</v>
      </c>
      <c r="J464" s="227"/>
      <c r="K464" s="233" t="s">
        <v>309</v>
      </c>
      <c r="L464" s="236" t="s">
        <v>9</v>
      </c>
      <c r="O464" s="8"/>
      <c r="P464" s="8"/>
      <c r="Q464" s="8"/>
      <c r="R464" s="8"/>
      <c r="S464" s="8"/>
      <c r="T464" s="8"/>
      <c r="U464" s="8"/>
      <c r="V464" s="8"/>
      <c r="W464" s="3"/>
      <c r="X464" s="3"/>
      <c r="Y464" s="3"/>
    </row>
    <row r="465" spans="1:42" ht="56.15" customHeight="1" x14ac:dyDescent="0.6">
      <c r="A465" s="223" t="s">
        <v>10</v>
      </c>
      <c r="B465" s="224"/>
      <c r="C465" s="229" t="s">
        <v>11</v>
      </c>
      <c r="D465" s="242" t="s">
        <v>310</v>
      </c>
      <c r="E465" s="223" t="s">
        <v>313</v>
      </c>
      <c r="F465" s="224"/>
      <c r="G465" s="225"/>
      <c r="H465" s="239" t="s">
        <v>315</v>
      </c>
      <c r="I465" s="240" t="s">
        <v>14</v>
      </c>
      <c r="J465" s="240" t="s">
        <v>15</v>
      </c>
      <c r="K465" s="234"/>
      <c r="L465" s="237"/>
      <c r="O465" s="8"/>
      <c r="P465" s="8"/>
      <c r="Q465" s="8"/>
      <c r="R465" s="8"/>
      <c r="S465" s="8"/>
      <c r="T465" s="8"/>
      <c r="U465" s="8"/>
      <c r="V465" s="8"/>
      <c r="W465" s="3"/>
      <c r="X465" s="3"/>
      <c r="Y465" s="3"/>
    </row>
    <row r="466" spans="1:42" ht="97.5" customHeight="1" x14ac:dyDescent="0.6">
      <c r="A466" s="16" t="s">
        <v>16</v>
      </c>
      <c r="B466" s="16" t="s">
        <v>17</v>
      </c>
      <c r="C466" s="230"/>
      <c r="D466" s="243"/>
      <c r="E466" s="16" t="s">
        <v>311</v>
      </c>
      <c r="F466" s="16" t="s">
        <v>312</v>
      </c>
      <c r="G466" s="16" t="s">
        <v>314</v>
      </c>
      <c r="H466" s="239"/>
      <c r="I466" s="241"/>
      <c r="J466" s="241"/>
      <c r="K466" s="235"/>
      <c r="L466" s="238"/>
      <c r="O466" s="8"/>
      <c r="P466" s="8"/>
      <c r="Q466" s="8"/>
      <c r="R466" s="8"/>
      <c r="S466" s="8"/>
      <c r="T466" s="8"/>
      <c r="U466" s="8"/>
      <c r="V466" s="8"/>
      <c r="W466" s="3"/>
      <c r="X466" s="3"/>
      <c r="Y466" s="3"/>
      <c r="AP466" s="1" t="s">
        <v>18</v>
      </c>
    </row>
    <row r="467" spans="1:42" ht="55.9" customHeight="1" x14ac:dyDescent="0.6">
      <c r="A467" s="29">
        <v>12</v>
      </c>
      <c r="B467" s="25" t="s">
        <v>91</v>
      </c>
      <c r="C467" s="103">
        <v>824524.99</v>
      </c>
      <c r="D467" s="104">
        <v>1071282.72</v>
      </c>
      <c r="E467" s="104">
        <v>357094.24</v>
      </c>
      <c r="F467" s="146">
        <f>D467-E467</f>
        <v>714188.48</v>
      </c>
      <c r="G467" s="146">
        <f>E467+F467</f>
        <v>1071282.72</v>
      </c>
      <c r="H467" s="18">
        <f>IFERROR(D467/C467*100-100,0)</f>
        <v>29.927259087683922</v>
      </c>
      <c r="I467" s="9">
        <v>0</v>
      </c>
      <c r="J467" s="10">
        <f>IFERROR(I467/#REF!*100,)</f>
        <v>0</v>
      </c>
      <c r="K467" s="28" t="s">
        <v>19</v>
      </c>
      <c r="L467" s="94" t="s">
        <v>19</v>
      </c>
      <c r="M467" s="1" t="s">
        <v>162</v>
      </c>
    </row>
    <row r="468" spans="1:42" s="12" customFormat="1" ht="56.15" customHeight="1" x14ac:dyDescent="0.35">
      <c r="A468" s="228" t="s">
        <v>25</v>
      </c>
      <c r="B468" s="228"/>
      <c r="C468" s="91">
        <f>SUM(C467:C467)</f>
        <v>824524.99</v>
      </c>
      <c r="D468" s="91">
        <f>SUM(D467:D467)</f>
        <v>1071282.72</v>
      </c>
      <c r="E468" s="91">
        <f>SUM(E467)</f>
        <v>357094.24</v>
      </c>
      <c r="F468" s="91">
        <f>SUM(F467)</f>
        <v>714188.48</v>
      </c>
      <c r="G468" s="91">
        <f>SUM(G467)</f>
        <v>1071282.72</v>
      </c>
      <c r="H468" s="19">
        <f>IFERROR(D468/C468*100-100,0)</f>
        <v>29.927259087683922</v>
      </c>
      <c r="I468" s="19">
        <f>SUM(I467:I467)</f>
        <v>0</v>
      </c>
      <c r="J468" s="19">
        <f>IFERROR(I468/#REF!*100,)</f>
        <v>0</v>
      </c>
      <c r="K468" s="36"/>
      <c r="L468" s="96">
        <f>SUM(L467:L467)</f>
        <v>0</v>
      </c>
      <c r="M468" s="55"/>
    </row>
    <row r="469" spans="1:42" ht="55.9" customHeight="1" x14ac:dyDescent="0.6">
      <c r="A469" s="244"/>
      <c r="B469" s="244"/>
      <c r="C469" s="244"/>
      <c r="D469" s="244"/>
      <c r="E469" s="244"/>
      <c r="F469" s="244"/>
      <c r="G469" s="244"/>
      <c r="H469" s="244"/>
      <c r="I469" s="245"/>
      <c r="J469" s="245"/>
    </row>
    <row r="470" spans="1:42" ht="97.5" customHeight="1" x14ac:dyDescent="0.6">
      <c r="A470" s="220" t="s">
        <v>1</v>
      </c>
      <c r="B470" s="221"/>
      <c r="C470" s="222" t="s">
        <v>89</v>
      </c>
      <c r="D470" s="222"/>
      <c r="E470" s="222"/>
      <c r="F470" s="222"/>
      <c r="G470" s="222"/>
      <c r="H470" s="222"/>
      <c r="I470" s="159"/>
      <c r="J470" s="159"/>
      <c r="P470" s="2"/>
      <c r="Q470" s="3"/>
      <c r="R470" s="3"/>
      <c r="S470" s="3"/>
      <c r="T470" s="3"/>
      <c r="U470" s="3"/>
      <c r="V470" s="3"/>
      <c r="W470" s="3"/>
      <c r="X470" s="3"/>
      <c r="Y470" s="3"/>
    </row>
    <row r="471" spans="1:42" ht="97.5" customHeight="1" x14ac:dyDescent="0.6">
      <c r="A471" s="221" t="s">
        <v>3</v>
      </c>
      <c r="B471" s="221"/>
      <c r="C471" s="222" t="s">
        <v>30</v>
      </c>
      <c r="D471" s="222"/>
      <c r="E471" s="222"/>
      <c r="F471" s="222"/>
      <c r="G471" s="222"/>
      <c r="H471" s="222"/>
      <c r="I471" s="160"/>
      <c r="J471" s="160"/>
      <c r="X471" s="3"/>
      <c r="Y471" s="3"/>
    </row>
    <row r="472" spans="1:42" s="6" customFormat="1" ht="49.5" customHeight="1" x14ac:dyDescent="0.6">
      <c r="A472" s="20"/>
      <c r="B472" s="4"/>
      <c r="C472" s="106"/>
      <c r="D472" s="106"/>
      <c r="E472" s="106"/>
      <c r="F472" s="106"/>
      <c r="G472" s="106"/>
      <c r="H472" s="5"/>
      <c r="I472" s="155"/>
      <c r="J472" s="155"/>
      <c r="K472" s="27"/>
      <c r="L472" s="95"/>
      <c r="P472" s="7"/>
      <c r="Q472" s="8"/>
      <c r="R472" s="8"/>
      <c r="S472" s="8"/>
      <c r="T472" s="8"/>
      <c r="U472" s="8"/>
      <c r="V472" s="8"/>
      <c r="W472" s="8"/>
      <c r="X472" s="8"/>
      <c r="Y472" s="8"/>
    </row>
    <row r="473" spans="1:42" ht="97.5" customHeight="1" x14ac:dyDescent="0.6">
      <c r="A473" s="223" t="s">
        <v>5</v>
      </c>
      <c r="B473" s="224"/>
      <c r="C473" s="223" t="s">
        <v>6</v>
      </c>
      <c r="D473" s="224"/>
      <c r="E473" s="224"/>
      <c r="F473" s="224"/>
      <c r="G473" s="224"/>
      <c r="H473" s="225"/>
      <c r="I473" s="226" t="s">
        <v>7</v>
      </c>
      <c r="J473" s="227"/>
      <c r="K473" s="233" t="s">
        <v>309</v>
      </c>
      <c r="L473" s="262" t="s">
        <v>9</v>
      </c>
      <c r="O473" s="8"/>
      <c r="P473" s="8"/>
      <c r="Q473" s="8"/>
      <c r="R473" s="8"/>
      <c r="S473" s="8"/>
      <c r="T473" s="8"/>
      <c r="U473" s="8"/>
      <c r="V473" s="8"/>
      <c r="W473" s="3"/>
      <c r="X473" s="3"/>
      <c r="Y473" s="3"/>
    </row>
    <row r="474" spans="1:42" ht="56.15" customHeight="1" x14ac:dyDescent="0.6">
      <c r="A474" s="223" t="s">
        <v>10</v>
      </c>
      <c r="B474" s="224"/>
      <c r="C474" s="229" t="s">
        <v>11</v>
      </c>
      <c r="D474" s="242" t="s">
        <v>310</v>
      </c>
      <c r="E474" s="223" t="s">
        <v>313</v>
      </c>
      <c r="F474" s="224"/>
      <c r="G474" s="225"/>
      <c r="H474" s="239" t="s">
        <v>315</v>
      </c>
      <c r="I474" s="240" t="s">
        <v>14</v>
      </c>
      <c r="J474" s="240" t="s">
        <v>15</v>
      </c>
      <c r="K474" s="234"/>
      <c r="L474" s="262"/>
      <c r="O474" s="8"/>
      <c r="P474" s="8"/>
      <c r="Q474" s="8"/>
      <c r="R474" s="8"/>
      <c r="S474" s="8"/>
      <c r="T474" s="8"/>
      <c r="U474" s="8"/>
      <c r="V474" s="8"/>
      <c r="W474" s="3"/>
      <c r="X474" s="3"/>
      <c r="Y474" s="3"/>
    </row>
    <row r="475" spans="1:42" ht="97.5" customHeight="1" x14ac:dyDescent="0.6">
      <c r="A475" s="16" t="s">
        <v>16</v>
      </c>
      <c r="B475" s="16" t="s">
        <v>17</v>
      </c>
      <c r="C475" s="230"/>
      <c r="D475" s="243"/>
      <c r="E475" s="16" t="s">
        <v>311</v>
      </c>
      <c r="F475" s="16" t="s">
        <v>312</v>
      </c>
      <c r="G475" s="16" t="s">
        <v>314</v>
      </c>
      <c r="H475" s="239"/>
      <c r="I475" s="241"/>
      <c r="J475" s="241"/>
      <c r="K475" s="235"/>
      <c r="L475" s="262"/>
      <c r="O475" s="8"/>
      <c r="P475" s="8"/>
      <c r="Q475" s="8"/>
      <c r="R475" s="8"/>
      <c r="S475" s="8"/>
      <c r="T475" s="8"/>
      <c r="U475" s="8"/>
      <c r="V475" s="8"/>
      <c r="W475" s="3"/>
      <c r="X475" s="3"/>
      <c r="Y475" s="3"/>
      <c r="AP475" s="1" t="s">
        <v>18</v>
      </c>
    </row>
    <row r="476" spans="1:42" ht="52" x14ac:dyDescent="0.6">
      <c r="A476" s="38">
        <v>1</v>
      </c>
      <c r="B476" s="32" t="s">
        <v>153</v>
      </c>
      <c r="C476" s="107">
        <v>20000</v>
      </c>
      <c r="D476" s="104">
        <v>15000</v>
      </c>
      <c r="E476" s="104">
        <v>0</v>
      </c>
      <c r="F476" s="146">
        <f>D476-E476</f>
        <v>15000</v>
      </c>
      <c r="G476" s="146">
        <f>E476+F476</f>
        <v>15000</v>
      </c>
      <c r="H476" s="18">
        <f>IFERROR(D476/C476*100-100,0)</f>
        <v>-25</v>
      </c>
      <c r="I476" s="9">
        <v>0</v>
      </c>
      <c r="J476" s="10">
        <f>IFERROR(I476/#REF!*100,)</f>
        <v>0</v>
      </c>
      <c r="K476" s="28" t="s">
        <v>19</v>
      </c>
      <c r="L476" s="94" t="s">
        <v>19</v>
      </c>
      <c r="M476" s="59"/>
      <c r="N476" s="56"/>
      <c r="O476" s="8"/>
      <c r="P476" s="2"/>
      <c r="Q476" s="3"/>
      <c r="R476" s="3"/>
      <c r="S476" s="3"/>
      <c r="T476" s="3"/>
      <c r="U476" s="3"/>
      <c r="V476" s="3"/>
      <c r="W476" s="3"/>
      <c r="X476" s="3"/>
      <c r="Y476" s="3"/>
      <c r="AP476" s="1" t="s">
        <v>20</v>
      </c>
    </row>
    <row r="477" spans="1:42" x14ac:dyDescent="0.6">
      <c r="A477" s="38">
        <v>1</v>
      </c>
      <c r="B477" s="32" t="s">
        <v>154</v>
      </c>
      <c r="C477" s="103">
        <v>30000</v>
      </c>
      <c r="D477" s="104">
        <v>30000</v>
      </c>
      <c r="E477" s="104">
        <v>4270.58</v>
      </c>
      <c r="F477" s="146">
        <v>41816.660000000003</v>
      </c>
      <c r="G477" s="146">
        <f t="shared" ref="G477:G479" si="53">E477+F477</f>
        <v>46087.240000000005</v>
      </c>
      <c r="H477" s="18">
        <f t="shared" ref="H477:H480" si="54">IFERROR(D477/C477*100-100,0)</f>
        <v>0</v>
      </c>
      <c r="I477" s="9">
        <v>0</v>
      </c>
      <c r="J477" s="10">
        <f>IFERROR(I477/#REF!*100,)</f>
        <v>0</v>
      </c>
      <c r="K477" s="28" t="s">
        <v>19</v>
      </c>
      <c r="L477" s="94" t="s">
        <v>19</v>
      </c>
      <c r="M477" s="48" t="s">
        <v>160</v>
      </c>
      <c r="P477" s="2"/>
      <c r="Q477" s="3"/>
      <c r="R477" s="3"/>
      <c r="S477" s="3"/>
      <c r="T477" s="3"/>
      <c r="U477" s="3"/>
      <c r="V477" s="3"/>
      <c r="W477" s="3"/>
      <c r="X477" s="3"/>
      <c r="Y477" s="3"/>
      <c r="AP477" s="1" t="s">
        <v>22</v>
      </c>
    </row>
    <row r="478" spans="1:42" ht="52" x14ac:dyDescent="0.6">
      <c r="A478" s="38">
        <v>1</v>
      </c>
      <c r="B478" s="32" t="s">
        <v>155</v>
      </c>
      <c r="C478" s="107">
        <v>20000</v>
      </c>
      <c r="D478" s="104">
        <v>20000</v>
      </c>
      <c r="E478" s="104">
        <v>6617.13</v>
      </c>
      <c r="F478" s="146">
        <f>(1475.81*8)+7000</f>
        <v>18806.48</v>
      </c>
      <c r="G478" s="146">
        <f t="shared" si="53"/>
        <v>25423.61</v>
      </c>
      <c r="H478" s="18">
        <f t="shared" si="54"/>
        <v>0</v>
      </c>
      <c r="I478" s="9">
        <v>0</v>
      </c>
      <c r="J478" s="10">
        <f>IFERROR(I478/#REF!*100,)</f>
        <v>0</v>
      </c>
      <c r="K478" s="28" t="s">
        <v>19</v>
      </c>
      <c r="L478" s="94" t="s">
        <v>19</v>
      </c>
      <c r="M478" s="1" t="s">
        <v>294</v>
      </c>
      <c r="P478" s="2"/>
      <c r="Q478" s="3"/>
      <c r="R478" s="3"/>
      <c r="S478" s="3"/>
      <c r="T478" s="3"/>
      <c r="U478" s="3"/>
      <c r="V478" s="3"/>
      <c r="W478" s="3"/>
      <c r="X478" s="3"/>
      <c r="Y478" s="3"/>
    </row>
    <row r="479" spans="1:42" ht="78" x14ac:dyDescent="0.6">
      <c r="A479" s="38">
        <v>1</v>
      </c>
      <c r="B479" s="32" t="s">
        <v>161</v>
      </c>
      <c r="C479" s="103">
        <v>160634.70000000001</v>
      </c>
      <c r="D479" s="104">
        <v>140000</v>
      </c>
      <c r="E479" s="104">
        <v>51928.54</v>
      </c>
      <c r="F479" s="146">
        <f>(8378.18*8)+ (560*8)+ (1272.7*8)+ (3876.66*8)+ 5000+20000</f>
        <v>137700.32</v>
      </c>
      <c r="G479" s="146">
        <f t="shared" si="53"/>
        <v>189628.86000000002</v>
      </c>
      <c r="H479" s="18">
        <f t="shared" si="54"/>
        <v>-12.845730094431659</v>
      </c>
      <c r="I479" s="9">
        <v>0</v>
      </c>
      <c r="J479" s="10">
        <f>IFERROR(I479/#REF!*100,)</f>
        <v>0</v>
      </c>
      <c r="K479" s="28" t="s">
        <v>19</v>
      </c>
      <c r="L479" s="94" t="s">
        <v>19</v>
      </c>
      <c r="M479" s="48" t="s">
        <v>295</v>
      </c>
      <c r="P479" s="2"/>
      <c r="Q479" s="3"/>
      <c r="R479" s="3"/>
      <c r="S479" s="3"/>
      <c r="T479" s="3"/>
      <c r="U479" s="3"/>
      <c r="V479" s="3"/>
      <c r="W479" s="3"/>
      <c r="X479" s="3"/>
      <c r="Y479" s="3"/>
    </row>
    <row r="480" spans="1:42" s="80" customFormat="1" ht="55.9" customHeight="1" x14ac:dyDescent="0.6">
      <c r="A480" s="124">
        <v>1</v>
      </c>
      <c r="B480" s="67" t="s">
        <v>88</v>
      </c>
      <c r="C480" s="105">
        <v>10000</v>
      </c>
      <c r="D480" s="105">
        <v>10000</v>
      </c>
      <c r="E480" s="105">
        <v>0</v>
      </c>
      <c r="F480" s="110">
        <v>0</v>
      </c>
      <c r="G480" s="110">
        <v>0</v>
      </c>
      <c r="H480" s="76">
        <f t="shared" si="54"/>
        <v>0</v>
      </c>
      <c r="I480" s="77">
        <v>0</v>
      </c>
      <c r="J480" s="78">
        <f>IFERROR(I480/#REF!*100,)</f>
        <v>0</v>
      </c>
      <c r="K480" s="79" t="s">
        <v>19</v>
      </c>
      <c r="L480" s="97" t="s">
        <v>19</v>
      </c>
      <c r="M480" s="80" t="s">
        <v>397</v>
      </c>
    </row>
    <row r="481" spans="1:42" s="12" customFormat="1" ht="56.15" customHeight="1" x14ac:dyDescent="0.35">
      <c r="A481" s="258" t="s">
        <v>25</v>
      </c>
      <c r="B481" s="258"/>
      <c r="C481" s="199">
        <f>SUM(C476:C480)</f>
        <v>240634.7</v>
      </c>
      <c r="D481" s="199">
        <f>SUM(D476:D480)</f>
        <v>215000</v>
      </c>
      <c r="E481" s="199">
        <f>SUM(E476:E480)</f>
        <v>62816.25</v>
      </c>
      <c r="F481" s="199">
        <f>SUM(F476:F480)</f>
        <v>213323.46000000002</v>
      </c>
      <c r="G481" s="199">
        <f>SUM(G476:G479)</f>
        <v>276139.71000000002</v>
      </c>
      <c r="H481" s="200">
        <f>IFERROR(D481/C481*100-100,0)</f>
        <v>-10.6529523796859</v>
      </c>
      <c r="I481" s="200">
        <f>SUM(I476:I479)</f>
        <v>0</v>
      </c>
      <c r="J481" s="200">
        <f>IFERROR(I481/#REF!*100,)</f>
        <v>0</v>
      </c>
      <c r="K481" s="36"/>
      <c r="L481" s="96">
        <f>SUM(L476:L479)</f>
        <v>0</v>
      </c>
      <c r="M481" s="55"/>
    </row>
    <row r="482" spans="1:42" ht="55.9" customHeight="1" x14ac:dyDescent="0.6">
      <c r="A482" s="257"/>
      <c r="B482" s="257"/>
      <c r="C482" s="257"/>
      <c r="D482" s="257"/>
      <c r="E482" s="257"/>
      <c r="F482" s="257"/>
      <c r="G482" s="257"/>
      <c r="H482" s="257"/>
      <c r="I482" s="257"/>
      <c r="J482" s="257"/>
    </row>
    <row r="483" spans="1:42" ht="55.9" customHeight="1" x14ac:dyDescent="0.6">
      <c r="A483" s="256"/>
      <c r="B483" s="256"/>
      <c r="C483" s="256"/>
      <c r="D483" s="256"/>
      <c r="E483" s="256"/>
      <c r="F483" s="256"/>
      <c r="G483" s="256"/>
      <c r="H483" s="256"/>
      <c r="I483" s="257"/>
      <c r="J483" s="257"/>
    </row>
    <row r="484" spans="1:42" ht="97.5" customHeight="1" x14ac:dyDescent="0.6">
      <c r="A484" s="220" t="s">
        <v>1</v>
      </c>
      <c r="B484" s="221"/>
      <c r="C484" s="222" t="s">
        <v>267</v>
      </c>
      <c r="D484" s="222"/>
      <c r="E484" s="222"/>
      <c r="F484" s="222"/>
      <c r="G484" s="222"/>
      <c r="H484" s="222"/>
      <c r="I484" s="159"/>
      <c r="J484" s="159"/>
      <c r="P484" s="2"/>
      <c r="Q484" s="3"/>
      <c r="R484" s="3"/>
      <c r="S484" s="3"/>
      <c r="T484" s="3"/>
      <c r="U484" s="3"/>
      <c r="V484" s="3"/>
      <c r="W484" s="3"/>
      <c r="X484" s="3"/>
      <c r="Y484" s="3"/>
    </row>
    <row r="485" spans="1:42" ht="97.5" customHeight="1" x14ac:dyDescent="0.6">
      <c r="A485" s="221" t="s">
        <v>3</v>
      </c>
      <c r="B485" s="221"/>
      <c r="C485" s="222" t="s">
        <v>69</v>
      </c>
      <c r="D485" s="222"/>
      <c r="E485" s="222"/>
      <c r="F485" s="222"/>
      <c r="G485" s="222"/>
      <c r="H485" s="222"/>
      <c r="I485" s="160"/>
      <c r="J485" s="160"/>
      <c r="X485" s="3"/>
      <c r="Y485" s="3"/>
    </row>
    <row r="486" spans="1:42" s="6" customFormat="1" ht="49.5" customHeight="1" x14ac:dyDescent="0.6">
      <c r="A486" s="20"/>
      <c r="B486" s="4"/>
      <c r="C486" s="106"/>
      <c r="D486" s="106"/>
      <c r="E486" s="106"/>
      <c r="F486" s="106"/>
      <c r="G486" s="106"/>
      <c r="H486" s="5"/>
      <c r="I486" s="155"/>
      <c r="J486" s="155"/>
      <c r="K486" s="27"/>
      <c r="L486" s="95"/>
      <c r="P486" s="7"/>
      <c r="Q486" s="8"/>
      <c r="R486" s="8"/>
      <c r="S486" s="8"/>
      <c r="T486" s="8"/>
      <c r="U486" s="8"/>
      <c r="V486" s="8"/>
      <c r="W486" s="8"/>
      <c r="X486" s="8"/>
      <c r="Y486" s="8"/>
    </row>
    <row r="487" spans="1:42" ht="97.5" customHeight="1" x14ac:dyDescent="0.6">
      <c r="A487" s="223" t="s">
        <v>5</v>
      </c>
      <c r="B487" s="225"/>
      <c r="C487" s="223" t="s">
        <v>6</v>
      </c>
      <c r="D487" s="224"/>
      <c r="E487" s="224"/>
      <c r="F487" s="224"/>
      <c r="G487" s="224"/>
      <c r="H487" s="225"/>
      <c r="I487" s="226" t="s">
        <v>7</v>
      </c>
      <c r="J487" s="227"/>
      <c r="K487" s="233" t="s">
        <v>309</v>
      </c>
      <c r="L487" s="259" t="s">
        <v>9</v>
      </c>
      <c r="O487" s="8"/>
      <c r="P487" s="8"/>
      <c r="Q487" s="8"/>
      <c r="R487" s="8"/>
      <c r="S487" s="8"/>
      <c r="T487" s="8"/>
      <c r="U487" s="8"/>
      <c r="V487" s="8"/>
      <c r="W487" s="3"/>
      <c r="X487" s="3"/>
      <c r="Y487" s="3"/>
    </row>
    <row r="488" spans="1:42" ht="56.15" customHeight="1" x14ac:dyDescent="0.6">
      <c r="A488" s="223" t="s">
        <v>10</v>
      </c>
      <c r="B488" s="225"/>
      <c r="C488" s="254" t="s">
        <v>11</v>
      </c>
      <c r="D488" s="242" t="s">
        <v>310</v>
      </c>
      <c r="E488" s="223" t="s">
        <v>313</v>
      </c>
      <c r="F488" s="224"/>
      <c r="G488" s="225"/>
      <c r="H488" s="239" t="s">
        <v>315</v>
      </c>
      <c r="I488" s="240" t="s">
        <v>14</v>
      </c>
      <c r="J488" s="240" t="s">
        <v>15</v>
      </c>
      <c r="K488" s="234"/>
      <c r="L488" s="260"/>
      <c r="O488" s="8"/>
      <c r="P488" s="8"/>
      <c r="Q488" s="8"/>
      <c r="R488" s="8"/>
      <c r="S488" s="8"/>
      <c r="T488" s="8"/>
      <c r="U488" s="8"/>
      <c r="V488" s="8"/>
      <c r="W488" s="3"/>
      <c r="X488" s="3"/>
      <c r="Y488" s="3"/>
    </row>
    <row r="489" spans="1:42" ht="97.5" customHeight="1" x14ac:dyDescent="0.6">
      <c r="A489" s="16" t="s">
        <v>16</v>
      </c>
      <c r="B489" s="16" t="s">
        <v>17</v>
      </c>
      <c r="C489" s="255"/>
      <c r="D489" s="243"/>
      <c r="E489" s="16" t="s">
        <v>311</v>
      </c>
      <c r="F489" s="16" t="s">
        <v>312</v>
      </c>
      <c r="G489" s="16" t="s">
        <v>314</v>
      </c>
      <c r="H489" s="239"/>
      <c r="I489" s="241"/>
      <c r="J489" s="241"/>
      <c r="K489" s="235"/>
      <c r="L489" s="261"/>
      <c r="O489" s="8"/>
      <c r="P489" s="8"/>
      <c r="Q489" s="8"/>
      <c r="R489" s="8"/>
      <c r="S489" s="8"/>
      <c r="T489" s="8"/>
      <c r="U489" s="8"/>
      <c r="V489" s="8"/>
      <c r="W489" s="3"/>
      <c r="X489" s="3"/>
      <c r="Y489" s="3"/>
      <c r="AP489" s="1" t="s">
        <v>18</v>
      </c>
    </row>
    <row r="490" spans="1:42" ht="52" x14ac:dyDescent="0.6">
      <c r="A490" s="33">
        <v>1</v>
      </c>
      <c r="B490" s="25" t="s">
        <v>398</v>
      </c>
      <c r="C490" s="107">
        <v>2300399.65</v>
      </c>
      <c r="D490" s="103">
        <v>2560978.67</v>
      </c>
      <c r="E490" s="103">
        <v>610283.04</v>
      </c>
      <c r="F490" s="111">
        <v>1344346.27</v>
      </c>
      <c r="G490" s="111">
        <f>E490+F490</f>
        <v>1954629.31</v>
      </c>
      <c r="H490" s="18">
        <f t="shared" ref="H490:H495" si="55">IFERROR(D490/C490*100-100,0)</f>
        <v>11.327554323006453</v>
      </c>
      <c r="I490" s="9">
        <v>0</v>
      </c>
      <c r="J490" s="10">
        <f>IFERROR(I490/#REF!*100,)</f>
        <v>0</v>
      </c>
      <c r="K490" s="28" t="s">
        <v>19</v>
      </c>
      <c r="L490" s="94" t="s">
        <v>19</v>
      </c>
      <c r="O490" s="8"/>
      <c r="P490" s="2"/>
      <c r="Q490" s="3"/>
      <c r="R490" s="3"/>
      <c r="S490" s="3"/>
      <c r="T490" s="3"/>
      <c r="U490" s="3"/>
      <c r="V490" s="3"/>
      <c r="W490" s="3"/>
      <c r="X490" s="3"/>
      <c r="Y490" s="3"/>
      <c r="AP490" s="1" t="s">
        <v>20</v>
      </c>
    </row>
    <row r="491" spans="1:42" ht="78" x14ac:dyDescent="0.6">
      <c r="A491" s="33">
        <v>1</v>
      </c>
      <c r="B491" s="25" t="s">
        <v>400</v>
      </c>
      <c r="C491" s="107">
        <v>5000</v>
      </c>
      <c r="D491" s="104">
        <v>10000</v>
      </c>
      <c r="E491" s="104">
        <v>5947.75</v>
      </c>
      <c r="F491" s="146">
        <f>(1252.5*8)+5000</f>
        <v>15020</v>
      </c>
      <c r="G491" s="111">
        <f t="shared" ref="G491:G494" si="56">E491+F491</f>
        <v>20967.75</v>
      </c>
      <c r="H491" s="18">
        <f t="shared" si="55"/>
        <v>100</v>
      </c>
      <c r="I491" s="9">
        <v>0</v>
      </c>
      <c r="J491" s="10">
        <f>IFERROR(I491/#REF!*100,)</f>
        <v>0</v>
      </c>
      <c r="K491" s="28" t="s">
        <v>19</v>
      </c>
      <c r="L491" s="94" t="s">
        <v>19</v>
      </c>
      <c r="M491" s="48" t="s">
        <v>297</v>
      </c>
      <c r="P491" s="2"/>
      <c r="Q491" s="3"/>
      <c r="R491" s="3"/>
      <c r="S491" s="3"/>
      <c r="T491" s="3"/>
      <c r="U491" s="3"/>
      <c r="V491" s="3"/>
      <c r="W491" s="3"/>
      <c r="X491" s="3"/>
      <c r="Y491" s="3"/>
      <c r="AP491" s="1" t="s">
        <v>22</v>
      </c>
    </row>
    <row r="492" spans="1:42" ht="104" x14ac:dyDescent="0.6">
      <c r="A492" s="33">
        <v>1</v>
      </c>
      <c r="B492" s="25" t="s">
        <v>399</v>
      </c>
      <c r="C492" s="107">
        <v>40000</v>
      </c>
      <c r="D492" s="104">
        <v>0</v>
      </c>
      <c r="E492" s="104">
        <v>17287.080000000002</v>
      </c>
      <c r="F492" s="146">
        <f>(1796*8)+(650*8)+(1530*8)</f>
        <v>31808</v>
      </c>
      <c r="G492" s="111">
        <f t="shared" si="56"/>
        <v>49095.08</v>
      </c>
      <c r="H492" s="18">
        <f t="shared" si="55"/>
        <v>-100</v>
      </c>
      <c r="I492" s="9">
        <v>0</v>
      </c>
      <c r="J492" s="10">
        <f>IFERROR(I492/#REF!*100,)</f>
        <v>0</v>
      </c>
      <c r="K492" s="28" t="s">
        <v>19</v>
      </c>
      <c r="L492" s="94" t="s">
        <v>19</v>
      </c>
      <c r="M492" s="1" t="s">
        <v>298</v>
      </c>
      <c r="P492" s="2"/>
      <c r="Q492" s="3"/>
      <c r="R492" s="3"/>
      <c r="S492" s="3"/>
      <c r="T492" s="3"/>
      <c r="U492" s="3"/>
      <c r="V492" s="3"/>
      <c r="W492" s="3"/>
      <c r="X492" s="3"/>
      <c r="Y492" s="3"/>
    </row>
    <row r="493" spans="1:42" ht="55.9" hidden="1" customHeight="1" x14ac:dyDescent="0.6">
      <c r="A493" s="70">
        <v>1</v>
      </c>
      <c r="B493" s="67" t="s">
        <v>135</v>
      </c>
      <c r="C493" s="110">
        <v>40000</v>
      </c>
      <c r="D493" s="105">
        <v>0</v>
      </c>
      <c r="E493" s="105">
        <v>0</v>
      </c>
      <c r="F493" s="110">
        <v>0</v>
      </c>
      <c r="G493" s="111">
        <f t="shared" si="56"/>
        <v>0</v>
      </c>
      <c r="H493" s="18">
        <f t="shared" si="55"/>
        <v>-100</v>
      </c>
      <c r="I493" s="77"/>
      <c r="J493" s="78">
        <f>IFERROR(I493/#REF!*100,)</f>
        <v>0</v>
      </c>
      <c r="K493" s="79" t="s">
        <v>92</v>
      </c>
      <c r="L493" s="97" t="s">
        <v>19</v>
      </c>
      <c r="P493" s="3"/>
      <c r="Q493" s="3"/>
      <c r="R493" s="3"/>
      <c r="S493" s="3"/>
      <c r="T493" s="3"/>
      <c r="U493" s="3"/>
      <c r="V493" s="3"/>
      <c r="W493" s="3"/>
      <c r="X493" s="3"/>
      <c r="Y493" s="3"/>
    </row>
    <row r="494" spans="1:42" ht="56.15" customHeight="1" x14ac:dyDescent="0.6">
      <c r="A494" s="37">
        <v>1</v>
      </c>
      <c r="B494" s="32" t="s">
        <v>93</v>
      </c>
      <c r="C494" s="103">
        <v>12284.1</v>
      </c>
      <c r="D494" s="103">
        <v>20000</v>
      </c>
      <c r="E494" s="103">
        <v>0</v>
      </c>
      <c r="F494" s="111">
        <f>(1543.18*8)</f>
        <v>12345.44</v>
      </c>
      <c r="G494" s="111">
        <f t="shared" si="56"/>
        <v>12345.44</v>
      </c>
      <c r="H494" s="18">
        <f t="shared" si="55"/>
        <v>62.812090425835009</v>
      </c>
      <c r="I494" s="136">
        <v>0</v>
      </c>
      <c r="J494" s="137">
        <f>IFERROR(I494/#REF!*100,)</f>
        <v>0</v>
      </c>
      <c r="K494" s="28" t="s">
        <v>19</v>
      </c>
      <c r="L494" s="94" t="s">
        <v>19</v>
      </c>
      <c r="M494" s="1" t="s">
        <v>296</v>
      </c>
      <c r="P494" s="3"/>
      <c r="Q494" s="3"/>
      <c r="R494" s="3"/>
      <c r="S494" s="3"/>
      <c r="T494" s="3"/>
      <c r="U494" s="3"/>
      <c r="V494" s="3"/>
      <c r="W494" s="3"/>
      <c r="X494" s="3"/>
      <c r="Y494" s="3"/>
    </row>
    <row r="495" spans="1:42" s="12" customFormat="1" ht="56.15" customHeight="1" x14ac:dyDescent="0.35">
      <c r="A495" s="228" t="s">
        <v>25</v>
      </c>
      <c r="B495" s="228"/>
      <c r="C495" s="91">
        <f>SUM(C490:C494)</f>
        <v>2397683.75</v>
      </c>
      <c r="D495" s="91">
        <f>SUM(D490:D494)</f>
        <v>2590978.67</v>
      </c>
      <c r="E495" s="91">
        <f>SUM(E490:E494)</f>
        <v>633517.87</v>
      </c>
      <c r="F495" s="91">
        <f>SUM(F490:F494)</f>
        <v>1403519.71</v>
      </c>
      <c r="G495" s="91">
        <f>SUM(G490:G494)</f>
        <v>2037037.58</v>
      </c>
      <c r="H495" s="19">
        <f t="shared" si="55"/>
        <v>8.0617354144390418</v>
      </c>
      <c r="I495" s="19">
        <f>SUM(I490:I494)</f>
        <v>0</v>
      </c>
      <c r="J495" s="19">
        <f>IFERROR(I495/#REF!*100,)</f>
        <v>0</v>
      </c>
      <c r="K495" s="36"/>
      <c r="L495" s="96">
        <f>SUM(L490:L494)</f>
        <v>0</v>
      </c>
      <c r="M495" s="55"/>
    </row>
    <row r="496" spans="1:42" ht="55.9" customHeight="1" x14ac:dyDescent="0.6">
      <c r="A496" s="244"/>
      <c r="B496" s="244"/>
      <c r="C496" s="244"/>
      <c r="D496" s="244"/>
      <c r="E496" s="244"/>
      <c r="F496" s="244"/>
      <c r="G496" s="244"/>
      <c r="H496" s="244"/>
      <c r="I496" s="245"/>
      <c r="J496" s="245"/>
    </row>
    <row r="497" spans="1:42" ht="97.5" customHeight="1" x14ac:dyDescent="0.6">
      <c r="A497" s="220" t="s">
        <v>1</v>
      </c>
      <c r="B497" s="221"/>
      <c r="C497" s="222" t="s">
        <v>94</v>
      </c>
      <c r="D497" s="222"/>
      <c r="E497" s="222"/>
      <c r="F497" s="222"/>
      <c r="G497" s="222"/>
      <c r="H497" s="222"/>
      <c r="I497" s="159"/>
      <c r="J497" s="159"/>
      <c r="P497" s="2"/>
      <c r="Q497" s="3"/>
      <c r="R497" s="3"/>
      <c r="S497" s="3"/>
      <c r="T497" s="3"/>
      <c r="U497" s="3"/>
      <c r="V497" s="3"/>
      <c r="W497" s="3"/>
      <c r="X497" s="3"/>
      <c r="Y497" s="3"/>
    </row>
    <row r="498" spans="1:42" ht="97.5" customHeight="1" x14ac:dyDescent="0.6">
      <c r="A498" s="221" t="s">
        <v>3</v>
      </c>
      <c r="B498" s="221"/>
      <c r="C498" s="222" t="s">
        <v>69</v>
      </c>
      <c r="D498" s="222"/>
      <c r="E498" s="222"/>
      <c r="F498" s="222"/>
      <c r="G498" s="222"/>
      <c r="H498" s="222"/>
      <c r="I498" s="160"/>
      <c r="J498" s="160"/>
      <c r="X498" s="3"/>
      <c r="Y498" s="3"/>
    </row>
    <row r="499" spans="1:42" s="6" customFormat="1" ht="49.5" customHeight="1" x14ac:dyDescent="0.6">
      <c r="A499" s="20"/>
      <c r="B499" s="4"/>
      <c r="C499" s="106"/>
      <c r="D499" s="106"/>
      <c r="E499" s="106"/>
      <c r="F499" s="106"/>
      <c r="G499" s="106"/>
      <c r="H499" s="5"/>
      <c r="I499" s="155"/>
      <c r="J499" s="155"/>
      <c r="K499" s="27"/>
      <c r="L499" s="95"/>
      <c r="P499" s="7"/>
      <c r="Q499" s="8"/>
      <c r="R499" s="8"/>
      <c r="S499" s="8"/>
      <c r="T499" s="8"/>
      <c r="U499" s="8"/>
      <c r="V499" s="8"/>
      <c r="W499" s="8"/>
      <c r="X499" s="8"/>
      <c r="Y499" s="8"/>
    </row>
    <row r="500" spans="1:42" ht="97.5" customHeight="1" x14ac:dyDescent="0.6">
      <c r="A500" s="223" t="s">
        <v>5</v>
      </c>
      <c r="B500" s="224"/>
      <c r="C500" s="223" t="s">
        <v>6</v>
      </c>
      <c r="D500" s="224"/>
      <c r="E500" s="224"/>
      <c r="F500" s="224"/>
      <c r="G500" s="224"/>
      <c r="H500" s="225"/>
      <c r="I500" s="226" t="s">
        <v>7</v>
      </c>
      <c r="J500" s="227"/>
      <c r="K500" s="233" t="s">
        <v>309</v>
      </c>
      <c r="L500" s="236" t="s">
        <v>9</v>
      </c>
      <c r="O500" s="8"/>
      <c r="P500" s="8"/>
      <c r="Q500" s="8"/>
      <c r="R500" s="8"/>
      <c r="S500" s="8"/>
      <c r="T500" s="8"/>
      <c r="U500" s="8"/>
      <c r="V500" s="8"/>
      <c r="W500" s="3"/>
      <c r="X500" s="3"/>
      <c r="Y500" s="3"/>
    </row>
    <row r="501" spans="1:42" ht="56.15" customHeight="1" x14ac:dyDescent="0.6">
      <c r="A501" s="223" t="s">
        <v>10</v>
      </c>
      <c r="B501" s="224"/>
      <c r="C501" s="229" t="s">
        <v>11</v>
      </c>
      <c r="D501" s="242" t="s">
        <v>310</v>
      </c>
      <c r="E501" s="223" t="s">
        <v>313</v>
      </c>
      <c r="F501" s="224"/>
      <c r="G501" s="225"/>
      <c r="H501" s="239" t="s">
        <v>315</v>
      </c>
      <c r="I501" s="240" t="s">
        <v>14</v>
      </c>
      <c r="J501" s="240" t="s">
        <v>15</v>
      </c>
      <c r="K501" s="234"/>
      <c r="L501" s="237"/>
      <c r="O501" s="8"/>
      <c r="P501" s="8"/>
      <c r="Q501" s="8"/>
      <c r="R501" s="8"/>
      <c r="S501" s="8"/>
      <c r="T501" s="8"/>
      <c r="U501" s="8"/>
      <c r="V501" s="8"/>
      <c r="W501" s="3"/>
      <c r="X501" s="3"/>
      <c r="Y501" s="3"/>
    </row>
    <row r="502" spans="1:42" ht="97.5" customHeight="1" x14ac:dyDescent="0.6">
      <c r="A502" s="16" t="s">
        <v>16</v>
      </c>
      <c r="B502" s="16" t="s">
        <v>17</v>
      </c>
      <c r="C502" s="230"/>
      <c r="D502" s="243"/>
      <c r="E502" s="16" t="s">
        <v>311</v>
      </c>
      <c r="F502" s="16" t="s">
        <v>312</v>
      </c>
      <c r="G502" s="16" t="s">
        <v>314</v>
      </c>
      <c r="H502" s="239"/>
      <c r="I502" s="241"/>
      <c r="J502" s="241"/>
      <c r="K502" s="235"/>
      <c r="L502" s="238"/>
      <c r="O502" s="8"/>
      <c r="P502" s="8"/>
      <c r="Q502" s="8"/>
      <c r="R502" s="8"/>
      <c r="S502" s="8"/>
      <c r="T502" s="8"/>
      <c r="U502" s="8"/>
      <c r="V502" s="8"/>
      <c r="W502" s="3"/>
      <c r="X502" s="3"/>
      <c r="Y502" s="3"/>
      <c r="AP502" s="1" t="s">
        <v>18</v>
      </c>
    </row>
    <row r="503" spans="1:42" ht="78" x14ac:dyDescent="0.6">
      <c r="A503" s="29">
        <v>12</v>
      </c>
      <c r="B503" s="24" t="s">
        <v>95</v>
      </c>
      <c r="C503" s="103">
        <v>120307.25</v>
      </c>
      <c r="D503" s="104">
        <v>139896.03</v>
      </c>
      <c r="E503" s="104">
        <v>46632</v>
      </c>
      <c r="F503" s="146">
        <f>D503-E503</f>
        <v>93264.03</v>
      </c>
      <c r="G503" s="146">
        <f>E503+F503</f>
        <v>139896.03</v>
      </c>
      <c r="H503" s="18">
        <f>IFERROR(D503/C503*100-100,0)</f>
        <v>16.28229387671982</v>
      </c>
      <c r="I503" s="9">
        <v>0</v>
      </c>
      <c r="J503" s="10">
        <f>IFERROR(I503/#REF!*100,)</f>
        <v>0</v>
      </c>
      <c r="K503" s="28" t="s">
        <v>19</v>
      </c>
      <c r="L503" s="94" t="s">
        <v>19</v>
      </c>
      <c r="O503" s="8"/>
      <c r="P503" s="2"/>
      <c r="Q503" s="3"/>
      <c r="R503" s="3"/>
      <c r="S503" s="3"/>
      <c r="T503" s="3"/>
      <c r="U503" s="3"/>
      <c r="V503" s="3"/>
      <c r="W503" s="3"/>
      <c r="X503" s="3"/>
      <c r="Y503" s="3"/>
      <c r="AP503" s="1" t="s">
        <v>20</v>
      </c>
    </row>
    <row r="504" spans="1:42" s="12" customFormat="1" ht="56.15" customHeight="1" x14ac:dyDescent="0.35">
      <c r="A504" s="228" t="s">
        <v>25</v>
      </c>
      <c r="B504" s="228"/>
      <c r="C504" s="91">
        <f>SUM(C503:C503)</f>
        <v>120307.25</v>
      </c>
      <c r="D504" s="91">
        <f>SUM(D503:D503)</f>
        <v>139896.03</v>
      </c>
      <c r="E504" s="91">
        <f>SUM(E503)</f>
        <v>46632</v>
      </c>
      <c r="F504" s="91">
        <f>SUM(F503)</f>
        <v>93264.03</v>
      </c>
      <c r="G504" s="91">
        <f>SUM(G503)</f>
        <v>139896.03</v>
      </c>
      <c r="H504" s="19">
        <f>IFERROR(D504/C504*100-100,0)</f>
        <v>16.28229387671982</v>
      </c>
      <c r="I504" s="19">
        <f>SUM(I503:I503)</f>
        <v>0</v>
      </c>
      <c r="J504" s="19">
        <f>IFERROR(I504/#REF!*100,)</f>
        <v>0</v>
      </c>
      <c r="K504" s="36"/>
      <c r="L504" s="96">
        <f>SUM(L503:L503)</f>
        <v>0</v>
      </c>
      <c r="M504" s="55"/>
    </row>
    <row r="505" spans="1:42" ht="55.9" customHeight="1" x14ac:dyDescent="0.6">
      <c r="A505" s="244"/>
      <c r="B505" s="244"/>
      <c r="C505" s="244"/>
      <c r="D505" s="244"/>
      <c r="E505" s="244"/>
      <c r="F505" s="244"/>
      <c r="G505" s="244"/>
      <c r="H505" s="244"/>
      <c r="I505" s="245"/>
      <c r="J505" s="245"/>
    </row>
    <row r="506" spans="1:42" ht="97.5" customHeight="1" x14ac:dyDescent="0.6">
      <c r="A506" s="220" t="s">
        <v>1</v>
      </c>
      <c r="B506" s="221"/>
      <c r="C506" s="222" t="s">
        <v>107</v>
      </c>
      <c r="D506" s="222"/>
      <c r="E506" s="222"/>
      <c r="F506" s="222"/>
      <c r="G506" s="222"/>
      <c r="H506" s="222"/>
      <c r="I506" s="159"/>
      <c r="J506" s="159"/>
      <c r="P506" s="2"/>
      <c r="Q506" s="3"/>
      <c r="R506" s="3"/>
      <c r="S506" s="3"/>
      <c r="T506" s="3"/>
      <c r="U506" s="3"/>
      <c r="V506" s="3"/>
      <c r="W506" s="3"/>
      <c r="X506" s="3"/>
      <c r="Y506" s="3"/>
    </row>
    <row r="507" spans="1:42" ht="97.5" customHeight="1" x14ac:dyDescent="0.6">
      <c r="A507" s="221" t="s">
        <v>3</v>
      </c>
      <c r="B507" s="221"/>
      <c r="C507" s="222" t="s">
        <v>35</v>
      </c>
      <c r="D507" s="222"/>
      <c r="E507" s="222"/>
      <c r="F507" s="222"/>
      <c r="G507" s="222"/>
      <c r="H507" s="222"/>
      <c r="I507" s="160"/>
      <c r="J507" s="160"/>
      <c r="X507" s="3"/>
      <c r="Y507" s="3"/>
    </row>
    <row r="508" spans="1:42" s="6" customFormat="1" ht="49.5" customHeight="1" x14ac:dyDescent="0.6">
      <c r="A508" s="20"/>
      <c r="B508" s="4"/>
      <c r="C508" s="106"/>
      <c r="D508" s="106"/>
      <c r="E508" s="106"/>
      <c r="F508" s="106"/>
      <c r="G508" s="106"/>
      <c r="H508" s="5"/>
      <c r="I508" s="155"/>
      <c r="J508" s="155"/>
      <c r="K508" s="27"/>
      <c r="L508" s="95"/>
      <c r="P508" s="7"/>
      <c r="Q508" s="8"/>
      <c r="R508" s="8"/>
      <c r="S508" s="8"/>
      <c r="T508" s="8"/>
      <c r="U508" s="8"/>
      <c r="V508" s="8"/>
      <c r="W508" s="8"/>
      <c r="X508" s="8"/>
      <c r="Y508" s="8"/>
    </row>
    <row r="509" spans="1:42" ht="97.5" customHeight="1" x14ac:dyDescent="0.6">
      <c r="A509" s="223" t="s">
        <v>5</v>
      </c>
      <c r="B509" s="224"/>
      <c r="C509" s="223" t="s">
        <v>6</v>
      </c>
      <c r="D509" s="224"/>
      <c r="E509" s="224"/>
      <c r="F509" s="224"/>
      <c r="G509" s="224"/>
      <c r="H509" s="225"/>
      <c r="I509" s="226" t="s">
        <v>7</v>
      </c>
      <c r="J509" s="227"/>
      <c r="K509" s="233" t="s">
        <v>309</v>
      </c>
      <c r="L509" s="236" t="s">
        <v>9</v>
      </c>
      <c r="O509" s="8"/>
      <c r="P509" s="8"/>
      <c r="Q509" s="8"/>
      <c r="R509" s="8"/>
      <c r="S509" s="8"/>
      <c r="T509" s="8"/>
      <c r="U509" s="8"/>
      <c r="V509" s="8"/>
      <c r="W509" s="3"/>
      <c r="X509" s="3"/>
      <c r="Y509" s="3"/>
    </row>
    <row r="510" spans="1:42" ht="56.15" customHeight="1" x14ac:dyDescent="0.6">
      <c r="A510" s="223" t="s">
        <v>10</v>
      </c>
      <c r="B510" s="224"/>
      <c r="C510" s="229" t="s">
        <v>11</v>
      </c>
      <c r="D510" s="242" t="s">
        <v>310</v>
      </c>
      <c r="E510" s="223" t="s">
        <v>313</v>
      </c>
      <c r="F510" s="224"/>
      <c r="G510" s="225"/>
      <c r="H510" s="239" t="s">
        <v>315</v>
      </c>
      <c r="I510" s="240" t="s">
        <v>14</v>
      </c>
      <c r="J510" s="240" t="s">
        <v>15</v>
      </c>
      <c r="K510" s="234"/>
      <c r="L510" s="237"/>
      <c r="O510" s="8"/>
      <c r="P510" s="8"/>
      <c r="Q510" s="8"/>
      <c r="R510" s="8"/>
      <c r="S510" s="8"/>
      <c r="T510" s="8"/>
      <c r="U510" s="8"/>
      <c r="V510" s="8"/>
      <c r="W510" s="3"/>
      <c r="X510" s="3"/>
      <c r="Y510" s="3"/>
    </row>
    <row r="511" spans="1:42" ht="97.5" customHeight="1" x14ac:dyDescent="0.6">
      <c r="A511" s="16" t="s">
        <v>16</v>
      </c>
      <c r="B511" s="16" t="s">
        <v>17</v>
      </c>
      <c r="C511" s="230"/>
      <c r="D511" s="243"/>
      <c r="E511" s="16" t="s">
        <v>311</v>
      </c>
      <c r="F511" s="16" t="s">
        <v>312</v>
      </c>
      <c r="G511" s="16" t="s">
        <v>314</v>
      </c>
      <c r="H511" s="239"/>
      <c r="I511" s="241"/>
      <c r="J511" s="241"/>
      <c r="K511" s="235"/>
      <c r="L511" s="238"/>
      <c r="O511" s="8"/>
      <c r="P511" s="8"/>
      <c r="Q511" s="8"/>
      <c r="R511" s="8"/>
      <c r="S511" s="8"/>
      <c r="T511" s="8"/>
      <c r="U511" s="8"/>
      <c r="V511" s="8"/>
      <c r="W511" s="3"/>
      <c r="X511" s="3"/>
      <c r="Y511" s="3"/>
      <c r="AP511" s="1" t="s">
        <v>18</v>
      </c>
    </row>
    <row r="512" spans="1:42" ht="208" x14ac:dyDescent="0.6">
      <c r="A512" s="38">
        <v>1</v>
      </c>
      <c r="B512" s="25" t="s">
        <v>402</v>
      </c>
      <c r="C512" s="107">
        <v>354760.88</v>
      </c>
      <c r="D512" s="103">
        <v>382614.24</v>
      </c>
      <c r="E512" s="103">
        <v>114194.28</v>
      </c>
      <c r="F512" s="111">
        <v>262381.46000000002</v>
      </c>
      <c r="G512" s="111">
        <f>E512+F512</f>
        <v>376575.74</v>
      </c>
      <c r="H512" s="18">
        <f>IFERROR(D512/C512*100-100,0)</f>
        <v>7.8513053637706491</v>
      </c>
      <c r="I512" s="9">
        <v>0</v>
      </c>
      <c r="J512" s="10">
        <f>IFERROR(I512/#REF!*100,)</f>
        <v>0</v>
      </c>
      <c r="K512" s="28" t="s">
        <v>19</v>
      </c>
      <c r="L512" s="94" t="s">
        <v>19</v>
      </c>
      <c r="M512" s="48"/>
      <c r="O512" s="8"/>
      <c r="P512" s="2"/>
      <c r="Q512" s="3"/>
      <c r="R512" s="3"/>
      <c r="S512" s="3"/>
      <c r="T512" s="3"/>
      <c r="U512" s="3"/>
      <c r="V512" s="3"/>
      <c r="W512" s="3"/>
      <c r="X512" s="3"/>
      <c r="Y512" s="3"/>
      <c r="AP512" s="1" t="s">
        <v>20</v>
      </c>
    </row>
    <row r="513" spans="1:42" ht="78" x14ac:dyDescent="0.6">
      <c r="A513" s="38">
        <v>1</v>
      </c>
      <c r="B513" s="25" t="s">
        <v>401</v>
      </c>
      <c r="C513" s="107">
        <v>0</v>
      </c>
      <c r="D513" s="103">
        <v>0</v>
      </c>
      <c r="E513" s="103">
        <v>1002</v>
      </c>
      <c r="F513" s="111">
        <f>(250.5*8)+5000</f>
        <v>7004</v>
      </c>
      <c r="G513" s="111">
        <f t="shared" ref="G513:G514" si="57">E513+F513</f>
        <v>8006</v>
      </c>
      <c r="H513" s="18">
        <f>IFERROR(D513/C513*100-100,0)</f>
        <v>0</v>
      </c>
      <c r="I513" s="9">
        <v>0</v>
      </c>
      <c r="J513" s="10">
        <f>IFERROR(I513/#REF!*100,)</f>
        <v>0</v>
      </c>
      <c r="K513" s="28" t="s">
        <v>19</v>
      </c>
      <c r="L513" s="94" t="s">
        <v>19</v>
      </c>
      <c r="M513" s="48" t="s">
        <v>166</v>
      </c>
      <c r="O513" s="8"/>
      <c r="P513" s="2"/>
      <c r="Q513" s="3"/>
      <c r="R513" s="3"/>
      <c r="S513" s="3"/>
      <c r="T513" s="3"/>
      <c r="U513" s="3"/>
      <c r="V513" s="3"/>
      <c r="W513" s="3"/>
      <c r="X513" s="3"/>
      <c r="Y513" s="3"/>
    </row>
    <row r="514" spans="1:42" ht="78" x14ac:dyDescent="0.6">
      <c r="A514" s="62">
        <v>1</v>
      </c>
      <c r="B514" s="32" t="s">
        <v>403</v>
      </c>
      <c r="C514" s="103">
        <v>27376.35</v>
      </c>
      <c r="D514" s="103">
        <v>30000</v>
      </c>
      <c r="E514" s="103">
        <v>5323.88</v>
      </c>
      <c r="F514" s="111">
        <f>(1400*8)+(50*8)+(100*8)</f>
        <v>12400</v>
      </c>
      <c r="G514" s="111">
        <f t="shared" si="57"/>
        <v>17723.88</v>
      </c>
      <c r="H514" s="18">
        <f>IFERROR(D514/C514*100-100,0)</f>
        <v>9.5836369713274507</v>
      </c>
      <c r="I514" s="9">
        <v>0</v>
      </c>
      <c r="J514" s="10">
        <f>IFERROR(I514/#REF!*100,)</f>
        <v>0</v>
      </c>
      <c r="K514" s="28" t="s">
        <v>19</v>
      </c>
      <c r="L514" s="94" t="s">
        <v>19</v>
      </c>
      <c r="M514" s="48" t="s">
        <v>167</v>
      </c>
      <c r="P514" s="2"/>
      <c r="Q514" s="3"/>
      <c r="R514" s="3"/>
      <c r="S514" s="3"/>
      <c r="T514" s="3"/>
      <c r="U514" s="3"/>
      <c r="V514" s="3"/>
      <c r="W514" s="3"/>
      <c r="X514" s="3"/>
      <c r="Y514" s="3"/>
      <c r="AP514" s="1" t="s">
        <v>22</v>
      </c>
    </row>
    <row r="515" spans="1:42" s="12" customFormat="1" ht="56.15" customHeight="1" x14ac:dyDescent="0.35">
      <c r="A515" s="228" t="s">
        <v>25</v>
      </c>
      <c r="B515" s="228"/>
      <c r="C515" s="91">
        <f>SUM(C512:C514)</f>
        <v>382137.23</v>
      </c>
      <c r="D515" s="91">
        <f>SUM(D512:D514)</f>
        <v>412614.24</v>
      </c>
      <c r="E515" s="91">
        <f>SUM(E512:E514)</f>
        <v>120520.16</v>
      </c>
      <c r="F515" s="91">
        <f>SUM(F512:F514)</f>
        <v>281785.46000000002</v>
      </c>
      <c r="G515" s="91">
        <f>SUM(G512:G514)</f>
        <v>402305.62</v>
      </c>
      <c r="H515" s="19">
        <f>IFERROR(D515/C515*100-100,0)</f>
        <v>7.975409776220971</v>
      </c>
      <c r="I515" s="19">
        <f>SUM(I512:I514)</f>
        <v>0</v>
      </c>
      <c r="J515" s="19">
        <f>IFERROR(I515/#REF!*100,)</f>
        <v>0</v>
      </c>
      <c r="K515" s="36"/>
      <c r="L515" s="96">
        <f>SUM(L512:L514)</f>
        <v>0</v>
      </c>
      <c r="M515" s="55"/>
    </row>
    <row r="516" spans="1:42" ht="55.9" customHeight="1" x14ac:dyDescent="0.6">
      <c r="A516" s="244"/>
      <c r="B516" s="244"/>
      <c r="C516" s="244"/>
      <c r="D516" s="244"/>
      <c r="E516" s="244"/>
      <c r="F516" s="244"/>
      <c r="G516" s="244"/>
      <c r="H516" s="244"/>
      <c r="I516" s="245"/>
      <c r="J516" s="245"/>
    </row>
    <row r="517" spans="1:42" ht="97.5" customHeight="1" x14ac:dyDescent="0.6">
      <c r="A517" s="220" t="s">
        <v>1</v>
      </c>
      <c r="B517" s="221"/>
      <c r="C517" s="222" t="s">
        <v>96</v>
      </c>
      <c r="D517" s="222"/>
      <c r="E517" s="222"/>
      <c r="F517" s="222"/>
      <c r="G517" s="222"/>
      <c r="H517" s="222"/>
      <c r="I517" s="159"/>
      <c r="J517" s="159"/>
      <c r="P517" s="2"/>
      <c r="Q517" s="3"/>
      <c r="R517" s="3"/>
      <c r="S517" s="3"/>
      <c r="T517" s="3"/>
      <c r="U517" s="3"/>
      <c r="V517" s="3"/>
      <c r="W517" s="3"/>
      <c r="X517" s="3"/>
      <c r="Y517" s="3"/>
    </row>
    <row r="518" spans="1:42" ht="97.5" customHeight="1" x14ac:dyDescent="0.6">
      <c r="A518" s="221" t="s">
        <v>3</v>
      </c>
      <c r="B518" s="221"/>
      <c r="C518" s="222" t="s">
        <v>35</v>
      </c>
      <c r="D518" s="222"/>
      <c r="E518" s="222"/>
      <c r="F518" s="222"/>
      <c r="G518" s="222"/>
      <c r="H518" s="222"/>
      <c r="I518" s="160"/>
      <c r="J518" s="160"/>
      <c r="X518" s="3"/>
      <c r="Y518" s="3"/>
    </row>
    <row r="519" spans="1:42" s="6" customFormat="1" ht="49.5" customHeight="1" x14ac:dyDescent="0.6">
      <c r="A519" s="20"/>
      <c r="B519" s="4"/>
      <c r="C519" s="106"/>
      <c r="D519" s="106"/>
      <c r="E519" s="106"/>
      <c r="F519" s="106"/>
      <c r="G519" s="106"/>
      <c r="H519" s="5"/>
      <c r="I519" s="155"/>
      <c r="J519" s="155"/>
      <c r="K519" s="27"/>
      <c r="L519" s="95"/>
      <c r="P519" s="7"/>
      <c r="Q519" s="8"/>
      <c r="R519" s="8"/>
      <c r="S519" s="8"/>
      <c r="T519" s="8"/>
      <c r="U519" s="8"/>
      <c r="V519" s="8"/>
      <c r="W519" s="8"/>
      <c r="X519" s="8"/>
      <c r="Y519" s="8"/>
    </row>
    <row r="520" spans="1:42" ht="97.5" customHeight="1" x14ac:dyDescent="0.6">
      <c r="A520" s="223" t="s">
        <v>5</v>
      </c>
      <c r="B520" s="224"/>
      <c r="C520" s="223" t="s">
        <v>6</v>
      </c>
      <c r="D520" s="224"/>
      <c r="E520" s="224"/>
      <c r="F520" s="224"/>
      <c r="G520" s="224"/>
      <c r="H520" s="225"/>
      <c r="I520" s="226" t="s">
        <v>7</v>
      </c>
      <c r="J520" s="227"/>
      <c r="K520" s="233" t="s">
        <v>309</v>
      </c>
      <c r="L520" s="236" t="s">
        <v>9</v>
      </c>
      <c r="O520" s="8"/>
      <c r="P520" s="8"/>
      <c r="Q520" s="8"/>
      <c r="R520" s="8"/>
      <c r="S520" s="8"/>
      <c r="T520" s="8"/>
      <c r="U520" s="8"/>
      <c r="V520" s="8"/>
      <c r="W520" s="3"/>
      <c r="X520" s="3"/>
      <c r="Y520" s="3"/>
    </row>
    <row r="521" spans="1:42" ht="56.15" customHeight="1" x14ac:dyDescent="0.6">
      <c r="A521" s="223" t="s">
        <v>10</v>
      </c>
      <c r="B521" s="224"/>
      <c r="C521" s="229" t="s">
        <v>11</v>
      </c>
      <c r="D521" s="242" t="s">
        <v>310</v>
      </c>
      <c r="E521" s="223" t="s">
        <v>313</v>
      </c>
      <c r="F521" s="224"/>
      <c r="G521" s="225"/>
      <c r="H521" s="239" t="s">
        <v>315</v>
      </c>
      <c r="I521" s="240" t="s">
        <v>14</v>
      </c>
      <c r="J521" s="240" t="s">
        <v>15</v>
      </c>
      <c r="K521" s="234"/>
      <c r="L521" s="237"/>
      <c r="O521" s="8"/>
      <c r="P521" s="8"/>
      <c r="Q521" s="8"/>
      <c r="R521" s="8"/>
      <c r="S521" s="8"/>
      <c r="T521" s="8"/>
      <c r="U521" s="8"/>
      <c r="V521" s="8"/>
      <c r="W521" s="3"/>
      <c r="X521" s="3"/>
      <c r="Y521" s="3"/>
    </row>
    <row r="522" spans="1:42" ht="97.5" customHeight="1" x14ac:dyDescent="0.6">
      <c r="A522" s="16" t="s">
        <v>16</v>
      </c>
      <c r="B522" s="16" t="s">
        <v>17</v>
      </c>
      <c r="C522" s="230"/>
      <c r="D522" s="243"/>
      <c r="E522" s="16" t="s">
        <v>311</v>
      </c>
      <c r="F522" s="16" t="s">
        <v>312</v>
      </c>
      <c r="G522" s="16" t="s">
        <v>314</v>
      </c>
      <c r="H522" s="239"/>
      <c r="I522" s="241"/>
      <c r="J522" s="241"/>
      <c r="K522" s="235"/>
      <c r="L522" s="238"/>
      <c r="O522" s="8"/>
      <c r="P522" s="8"/>
      <c r="Q522" s="8"/>
      <c r="R522" s="8"/>
      <c r="S522" s="8"/>
      <c r="T522" s="8"/>
      <c r="U522" s="8"/>
      <c r="V522" s="8"/>
      <c r="W522" s="3"/>
      <c r="X522" s="3"/>
      <c r="Y522" s="3"/>
      <c r="AP522" s="1" t="s">
        <v>18</v>
      </c>
    </row>
    <row r="523" spans="1:42" ht="130" x14ac:dyDescent="0.6">
      <c r="A523" s="33">
        <v>1</v>
      </c>
      <c r="B523" s="25" t="s">
        <v>404</v>
      </c>
      <c r="C523" s="107">
        <v>806361.22</v>
      </c>
      <c r="D523" s="103">
        <v>921509.5</v>
      </c>
      <c r="E523" s="103">
        <v>286929.55</v>
      </c>
      <c r="F523" s="111">
        <v>562387.81000000006</v>
      </c>
      <c r="G523" s="111">
        <f>E523+F523</f>
        <v>849317.3600000001</v>
      </c>
      <c r="H523" s="18">
        <f t="shared" ref="H523:H528" si="58">IFERROR(D523/C523*100-100,0)</f>
        <v>14.279987323795169</v>
      </c>
      <c r="I523" s="9">
        <v>0</v>
      </c>
      <c r="J523" s="10">
        <f>IFERROR(I523/#REF!*100,)</f>
        <v>0</v>
      </c>
      <c r="K523" s="28" t="s">
        <v>19</v>
      </c>
      <c r="L523" s="94" t="s">
        <v>19</v>
      </c>
      <c r="M523" s="48"/>
      <c r="O523" s="8"/>
      <c r="P523" s="2"/>
      <c r="Q523" s="3"/>
      <c r="R523" s="3"/>
      <c r="S523" s="3"/>
      <c r="T523" s="3"/>
      <c r="U523" s="3"/>
      <c r="V523" s="3"/>
      <c r="W523" s="3"/>
      <c r="X523" s="3"/>
      <c r="Y523" s="3"/>
      <c r="AP523" s="1" t="s">
        <v>20</v>
      </c>
    </row>
    <row r="524" spans="1:42" ht="78" x14ac:dyDescent="0.6">
      <c r="A524" s="33">
        <v>1</v>
      </c>
      <c r="B524" s="25" t="s">
        <v>405</v>
      </c>
      <c r="C524" s="107">
        <v>7909.72</v>
      </c>
      <c r="D524" s="104">
        <v>5000</v>
      </c>
      <c r="E524" s="104">
        <v>2004</v>
      </c>
      <c r="F524" s="146">
        <f>(334*8)+7000</f>
        <v>9672</v>
      </c>
      <c r="G524" s="111">
        <f t="shared" ref="G524:G527" si="59">E524+F524</f>
        <v>11676</v>
      </c>
      <c r="H524" s="18">
        <f t="shared" si="58"/>
        <v>-36.786637200811157</v>
      </c>
      <c r="I524" s="9">
        <v>0</v>
      </c>
      <c r="J524" s="10">
        <f>IFERROR(I524/#REF!*100,)</f>
        <v>0</v>
      </c>
      <c r="K524" s="28" t="s">
        <v>19</v>
      </c>
      <c r="L524" s="94" t="s">
        <v>19</v>
      </c>
      <c r="M524" s="3" t="s">
        <v>299</v>
      </c>
      <c r="P524" s="2"/>
      <c r="Q524" s="3"/>
      <c r="R524" s="3"/>
      <c r="S524" s="3"/>
      <c r="T524" s="3"/>
      <c r="U524" s="3"/>
      <c r="V524" s="3"/>
      <c r="W524" s="3"/>
      <c r="X524" s="3"/>
      <c r="Y524" s="3"/>
      <c r="AP524" s="1" t="s">
        <v>22</v>
      </c>
    </row>
    <row r="525" spans="1:42" ht="104" x14ac:dyDescent="0.6">
      <c r="A525" s="33">
        <v>1</v>
      </c>
      <c r="B525" s="25" t="s">
        <v>406</v>
      </c>
      <c r="C525" s="107">
        <v>35071.53</v>
      </c>
      <c r="D525" s="104">
        <v>32000</v>
      </c>
      <c r="E525" s="104">
        <v>7724.88</v>
      </c>
      <c r="F525" s="146">
        <f>(87.5*8)+(1838.88*8)+(50*8)+600</f>
        <v>16411.04</v>
      </c>
      <c r="G525" s="111">
        <f t="shared" si="59"/>
        <v>24135.920000000002</v>
      </c>
      <c r="H525" s="18">
        <f t="shared" si="58"/>
        <v>-8.7579013518942617</v>
      </c>
      <c r="I525" s="9">
        <v>0</v>
      </c>
      <c r="J525" s="10">
        <f>IFERROR(I525/#REF!*100,)</f>
        <v>0</v>
      </c>
      <c r="K525" s="28" t="s">
        <v>19</v>
      </c>
      <c r="L525" s="94" t="s">
        <v>19</v>
      </c>
      <c r="M525" s="1" t="s">
        <v>300</v>
      </c>
      <c r="P525" s="2"/>
      <c r="Q525" s="3"/>
      <c r="R525" s="3"/>
      <c r="S525" s="3"/>
      <c r="T525" s="3"/>
      <c r="U525" s="3"/>
      <c r="V525" s="3"/>
      <c r="W525" s="3"/>
      <c r="X525" s="3"/>
      <c r="Y525" s="3"/>
    </row>
    <row r="526" spans="1:42" ht="143.5" customHeight="1" x14ac:dyDescent="0.6">
      <c r="A526" s="33">
        <v>1</v>
      </c>
      <c r="B526" s="32" t="s">
        <v>407</v>
      </c>
      <c r="C526" s="103">
        <v>81944.75</v>
      </c>
      <c r="D526" s="103">
        <v>40000</v>
      </c>
      <c r="E526" s="103">
        <v>787.95</v>
      </c>
      <c r="F526" s="111">
        <f>D526-E526-10000</f>
        <v>29212.050000000003</v>
      </c>
      <c r="G526" s="111">
        <f t="shared" si="59"/>
        <v>30000.000000000004</v>
      </c>
      <c r="H526" s="18">
        <f t="shared" si="58"/>
        <v>-51.186622693949275</v>
      </c>
      <c r="I526" s="9">
        <v>0</v>
      </c>
      <c r="J526" s="10">
        <f>IFERROR(I526/#REF!*100,)</f>
        <v>0</v>
      </c>
      <c r="K526" s="28" t="s">
        <v>19</v>
      </c>
      <c r="L526" s="94" t="s">
        <v>19</v>
      </c>
    </row>
    <row r="527" spans="1:42" ht="141.65" customHeight="1" x14ac:dyDescent="0.6">
      <c r="A527" s="33">
        <v>1</v>
      </c>
      <c r="B527" s="32" t="s">
        <v>223</v>
      </c>
      <c r="C527" s="103"/>
      <c r="D527" s="103">
        <v>0</v>
      </c>
      <c r="E527" s="103">
        <v>0</v>
      </c>
      <c r="F527" s="111">
        <v>10000</v>
      </c>
      <c r="G527" s="111">
        <f t="shared" si="59"/>
        <v>10000</v>
      </c>
      <c r="H527" s="18">
        <f t="shared" si="58"/>
        <v>0</v>
      </c>
      <c r="I527" s="9">
        <v>0</v>
      </c>
      <c r="J527" s="10">
        <f>IFERROR(I527/#REF!*100,)</f>
        <v>0</v>
      </c>
      <c r="K527" s="28" t="s">
        <v>222</v>
      </c>
      <c r="L527" s="94" t="s">
        <v>19</v>
      </c>
    </row>
    <row r="528" spans="1:42" s="12" customFormat="1" ht="56.15" customHeight="1" x14ac:dyDescent="0.35">
      <c r="A528" s="228" t="s">
        <v>25</v>
      </c>
      <c r="B528" s="228"/>
      <c r="C528" s="91">
        <f>SUM(C523:C526)</f>
        <v>931287.22</v>
      </c>
      <c r="D528" s="91">
        <f>SUM(D523:D527)</f>
        <v>998509.5</v>
      </c>
      <c r="E528" s="91">
        <f>SUM(E523:E527)</f>
        <v>297446.38</v>
      </c>
      <c r="F528" s="91">
        <f>SUM(F523:F527)</f>
        <v>627682.90000000014</v>
      </c>
      <c r="G528" s="91">
        <f>SUM(G523:G527)</f>
        <v>925129.28000000014</v>
      </c>
      <c r="H528" s="19">
        <f t="shared" si="58"/>
        <v>7.2182113698500103</v>
      </c>
      <c r="I528" s="19">
        <f>SUM(I523:I527)</f>
        <v>0</v>
      </c>
      <c r="J528" s="19">
        <f>IFERROR(I528/#REF!*100,)</f>
        <v>0</v>
      </c>
      <c r="K528" s="36"/>
      <c r="L528" s="96">
        <f>SUM(L523:L526)</f>
        <v>0</v>
      </c>
      <c r="M528" s="55"/>
    </row>
    <row r="529" spans="1:42" s="12" customFormat="1" ht="56.15" customHeight="1" x14ac:dyDescent="0.35">
      <c r="A529" s="142"/>
      <c r="B529" s="142"/>
      <c r="C529" s="143"/>
      <c r="D529" s="143"/>
      <c r="E529" s="143"/>
      <c r="F529" s="143"/>
      <c r="G529" s="143"/>
      <c r="H529" s="144"/>
      <c r="I529" s="144"/>
      <c r="J529" s="144"/>
      <c r="K529" s="57"/>
      <c r="L529" s="145"/>
      <c r="M529" s="55"/>
    </row>
    <row r="530" spans="1:42" s="173" customFormat="1" ht="97.5" customHeight="1" x14ac:dyDescent="0.6">
      <c r="A530" s="246" t="s">
        <v>1</v>
      </c>
      <c r="B530" s="247"/>
      <c r="C530" s="313" t="s">
        <v>276</v>
      </c>
      <c r="D530" s="313"/>
      <c r="E530" s="313"/>
      <c r="F530" s="313"/>
      <c r="G530" s="313"/>
      <c r="H530" s="314"/>
      <c r="I530" s="169"/>
      <c r="J530" s="170"/>
      <c r="K530" s="171"/>
      <c r="L530" s="172"/>
      <c r="P530" s="174"/>
      <c r="Q530" s="175"/>
      <c r="R530" s="175"/>
      <c r="S530" s="175"/>
      <c r="T530" s="175"/>
      <c r="U530" s="175"/>
      <c r="V530" s="175"/>
      <c r="W530" s="175"/>
      <c r="X530" s="175"/>
      <c r="Y530" s="175"/>
    </row>
    <row r="531" spans="1:42" s="173" customFormat="1" ht="97.5" customHeight="1" x14ac:dyDescent="0.6">
      <c r="A531" s="247" t="s">
        <v>3</v>
      </c>
      <c r="B531" s="247"/>
      <c r="C531" s="313" t="s">
        <v>32</v>
      </c>
      <c r="D531" s="313"/>
      <c r="E531" s="313"/>
      <c r="F531" s="313"/>
      <c r="G531" s="313"/>
      <c r="H531" s="314"/>
      <c r="I531" s="176"/>
      <c r="J531" s="177"/>
      <c r="K531" s="171"/>
      <c r="L531" s="172"/>
      <c r="X531" s="175"/>
      <c r="Y531" s="175"/>
    </row>
    <row r="532" spans="1:42" s="173" customFormat="1" ht="49.5" customHeight="1" x14ac:dyDescent="0.6">
      <c r="A532" s="178"/>
      <c r="B532" s="168"/>
      <c r="C532" s="179"/>
      <c r="D532" s="179"/>
      <c r="E532" s="179"/>
      <c r="F532" s="179"/>
      <c r="G532" s="179"/>
      <c r="H532" s="180"/>
      <c r="I532" s="180"/>
      <c r="J532" s="180"/>
      <c r="K532" s="171"/>
      <c r="L532" s="172"/>
      <c r="P532" s="174"/>
      <c r="Q532" s="175"/>
      <c r="R532" s="175"/>
      <c r="S532" s="175"/>
      <c r="T532" s="175"/>
      <c r="U532" s="175"/>
      <c r="V532" s="175"/>
      <c r="W532" s="175"/>
      <c r="X532" s="175"/>
      <c r="Y532" s="175"/>
    </row>
    <row r="533" spans="1:42" s="173" customFormat="1" ht="97.5" customHeight="1" x14ac:dyDescent="0.6">
      <c r="A533" s="248" t="s">
        <v>5</v>
      </c>
      <c r="B533" s="249"/>
      <c r="C533" s="248" t="s">
        <v>6</v>
      </c>
      <c r="D533" s="249"/>
      <c r="E533" s="249"/>
      <c r="F533" s="249"/>
      <c r="G533" s="249"/>
      <c r="H533" s="317"/>
      <c r="I533" s="302" t="s">
        <v>7</v>
      </c>
      <c r="J533" s="303"/>
      <c r="K533" s="304" t="s">
        <v>309</v>
      </c>
      <c r="L533" s="307" t="s">
        <v>9</v>
      </c>
      <c r="O533" s="175"/>
      <c r="P533" s="175"/>
      <c r="Q533" s="175"/>
      <c r="R533" s="175"/>
      <c r="S533" s="175"/>
      <c r="T533" s="175"/>
      <c r="U533" s="175"/>
      <c r="V533" s="175"/>
      <c r="W533" s="175"/>
      <c r="X533" s="175"/>
      <c r="Y533" s="175"/>
    </row>
    <row r="534" spans="1:42" s="173" customFormat="1" ht="56.15" customHeight="1" x14ac:dyDescent="0.6">
      <c r="A534" s="248" t="s">
        <v>10</v>
      </c>
      <c r="B534" s="249"/>
      <c r="C534" s="250" t="s">
        <v>11</v>
      </c>
      <c r="D534" s="252" t="s">
        <v>310</v>
      </c>
      <c r="E534" s="248" t="s">
        <v>313</v>
      </c>
      <c r="F534" s="249"/>
      <c r="G534" s="317"/>
      <c r="H534" s="310" t="s">
        <v>315</v>
      </c>
      <c r="I534" s="311" t="s">
        <v>14</v>
      </c>
      <c r="J534" s="311" t="s">
        <v>15</v>
      </c>
      <c r="K534" s="305"/>
      <c r="L534" s="308"/>
      <c r="O534" s="175"/>
      <c r="P534" s="175"/>
      <c r="Q534" s="175"/>
      <c r="R534" s="175"/>
      <c r="S534" s="175"/>
      <c r="T534" s="175"/>
      <c r="U534" s="175"/>
      <c r="V534" s="175"/>
      <c r="W534" s="175"/>
      <c r="X534" s="175"/>
      <c r="Y534" s="175"/>
    </row>
    <row r="535" spans="1:42" s="173" customFormat="1" ht="97.5" customHeight="1" x14ac:dyDescent="0.6">
      <c r="A535" s="181" t="s">
        <v>16</v>
      </c>
      <c r="B535" s="181" t="s">
        <v>17</v>
      </c>
      <c r="C535" s="251"/>
      <c r="D535" s="253"/>
      <c r="E535" s="181" t="s">
        <v>311</v>
      </c>
      <c r="F535" s="181" t="s">
        <v>312</v>
      </c>
      <c r="G535" s="181" t="s">
        <v>314</v>
      </c>
      <c r="H535" s="310"/>
      <c r="I535" s="312"/>
      <c r="J535" s="312"/>
      <c r="K535" s="306"/>
      <c r="L535" s="309"/>
      <c r="O535" s="175"/>
      <c r="P535" s="175"/>
      <c r="Q535" s="175"/>
      <c r="R535" s="175"/>
      <c r="S535" s="175"/>
      <c r="T535" s="175"/>
      <c r="U535" s="175"/>
      <c r="V535" s="175"/>
      <c r="W535" s="175"/>
      <c r="X535" s="175"/>
      <c r="Y535" s="175"/>
      <c r="AP535" s="173" t="s">
        <v>18</v>
      </c>
    </row>
    <row r="536" spans="1:42" s="173" customFormat="1" ht="55.9" customHeight="1" x14ac:dyDescent="0.6">
      <c r="A536" s="182">
        <v>1</v>
      </c>
      <c r="B536" s="183" t="s">
        <v>101</v>
      </c>
      <c r="C536" s="184">
        <v>1698908.63</v>
      </c>
      <c r="D536" s="184">
        <v>1842405.96</v>
      </c>
      <c r="E536" s="184">
        <v>559120.24</v>
      </c>
      <c r="F536" s="185">
        <v>0</v>
      </c>
      <c r="G536" s="186">
        <f>E536+F536</f>
        <v>559120.24</v>
      </c>
      <c r="H536" s="187">
        <f t="shared" ref="H536" si="60">IFERROR(D536/C536*100-100,0)</f>
        <v>8.4464418783957882</v>
      </c>
      <c r="I536" s="188"/>
      <c r="J536" s="189">
        <f>IFERROR(I536/#REF!*100,)</f>
        <v>0</v>
      </c>
      <c r="K536" s="190" t="s">
        <v>19</v>
      </c>
      <c r="L536" s="191" t="s">
        <v>19</v>
      </c>
      <c r="M536" s="192"/>
      <c r="O536" s="175"/>
      <c r="P536" s="174"/>
      <c r="Q536" s="175"/>
      <c r="R536" s="175"/>
      <c r="S536" s="175"/>
      <c r="T536" s="175"/>
      <c r="U536" s="175"/>
      <c r="V536" s="175"/>
      <c r="W536" s="175"/>
      <c r="X536" s="175"/>
      <c r="Y536" s="175"/>
      <c r="AP536" s="173" t="s">
        <v>20</v>
      </c>
    </row>
    <row r="537" spans="1:42" s="173" customFormat="1" ht="143.5" customHeight="1" x14ac:dyDescent="0.6">
      <c r="A537" s="182">
        <v>1</v>
      </c>
      <c r="B537" s="183" t="s">
        <v>102</v>
      </c>
      <c r="C537" s="184">
        <v>0</v>
      </c>
      <c r="D537" s="184">
        <v>40000</v>
      </c>
      <c r="E537" s="193">
        <v>4187.9799999999996</v>
      </c>
      <c r="F537" s="194">
        <v>0</v>
      </c>
      <c r="G537" s="186">
        <f t="shared" ref="G537:G541" si="61">E537+F537</f>
        <v>4187.9799999999996</v>
      </c>
      <c r="H537" s="187"/>
      <c r="I537" s="188"/>
      <c r="J537" s="189"/>
      <c r="K537" s="190" t="s">
        <v>19</v>
      </c>
      <c r="L537" s="191" t="s">
        <v>19</v>
      </c>
      <c r="M537" s="192"/>
      <c r="O537" s="175"/>
      <c r="P537" s="174"/>
      <c r="Q537" s="175"/>
      <c r="R537" s="175"/>
      <c r="S537" s="175"/>
      <c r="T537" s="175"/>
      <c r="U537" s="175"/>
      <c r="V537" s="175"/>
      <c r="W537" s="175"/>
      <c r="X537" s="175"/>
      <c r="Y537" s="175"/>
    </row>
    <row r="538" spans="1:42" s="173" customFormat="1" ht="130" x14ac:dyDescent="0.6">
      <c r="A538" s="182">
        <v>1</v>
      </c>
      <c r="B538" s="183" t="s">
        <v>103</v>
      </c>
      <c r="C538" s="184">
        <v>20000</v>
      </c>
      <c r="D538" s="184">
        <v>813442.25</v>
      </c>
      <c r="E538" s="193">
        <f>7231.16+252495.35</f>
        <v>259726.51</v>
      </c>
      <c r="F538" s="194">
        <v>0</v>
      </c>
      <c r="G538" s="186">
        <f t="shared" si="61"/>
        <v>259726.51</v>
      </c>
      <c r="H538" s="187">
        <f t="shared" ref="H538:H542" si="62">IFERROR(D538/C538*100-100,0)</f>
        <v>3967.2112499999998</v>
      </c>
      <c r="I538" s="188"/>
      <c r="J538" s="189">
        <f>IFERROR(I538/#REF!*100,)</f>
        <v>0</v>
      </c>
      <c r="K538" s="190" t="s">
        <v>19</v>
      </c>
      <c r="L538" s="191" t="s">
        <v>19</v>
      </c>
      <c r="M538" s="192"/>
      <c r="P538" s="174"/>
      <c r="Q538" s="175"/>
      <c r="R538" s="175"/>
      <c r="S538" s="175"/>
      <c r="T538" s="175"/>
      <c r="U538" s="175"/>
      <c r="V538" s="175"/>
      <c r="W538" s="175"/>
      <c r="X538" s="175"/>
      <c r="Y538" s="175"/>
      <c r="AP538" s="173" t="s">
        <v>22</v>
      </c>
    </row>
    <row r="539" spans="1:42" s="173" customFormat="1" ht="138.5" customHeight="1" x14ac:dyDescent="0.6">
      <c r="A539" s="182">
        <v>1</v>
      </c>
      <c r="B539" s="183" t="s">
        <v>104</v>
      </c>
      <c r="C539" s="184">
        <v>777954.2</v>
      </c>
      <c r="D539" s="184">
        <v>100000</v>
      </c>
      <c r="E539" s="193">
        <f>106567.58+771.48</f>
        <v>107339.06</v>
      </c>
      <c r="F539" s="194">
        <v>0</v>
      </c>
      <c r="G539" s="186">
        <f t="shared" si="61"/>
        <v>107339.06</v>
      </c>
      <c r="H539" s="187">
        <f t="shared" si="62"/>
        <v>-87.145772848838661</v>
      </c>
      <c r="I539" s="188"/>
      <c r="J539" s="189">
        <f>IFERROR(I539/#REF!*100,)</f>
        <v>0</v>
      </c>
      <c r="K539" s="190" t="s">
        <v>19</v>
      </c>
      <c r="L539" s="191" t="s">
        <v>19</v>
      </c>
      <c r="M539" s="192" t="s">
        <v>164</v>
      </c>
      <c r="P539" s="174"/>
      <c r="Q539" s="175"/>
      <c r="R539" s="175"/>
      <c r="S539" s="175"/>
      <c r="T539" s="175"/>
      <c r="U539" s="175"/>
      <c r="V539" s="175"/>
      <c r="W539" s="175"/>
      <c r="X539" s="175"/>
      <c r="Y539" s="175"/>
    </row>
    <row r="540" spans="1:42" s="173" customFormat="1" ht="75" customHeight="1" x14ac:dyDescent="0.6">
      <c r="A540" s="182">
        <v>1</v>
      </c>
      <c r="B540" s="195" t="s">
        <v>105</v>
      </c>
      <c r="C540" s="184">
        <v>330004.21999999997</v>
      </c>
      <c r="D540" s="184">
        <v>0</v>
      </c>
      <c r="E540" s="184"/>
      <c r="F540" s="185">
        <v>0</v>
      </c>
      <c r="G540" s="186">
        <f t="shared" si="61"/>
        <v>0</v>
      </c>
      <c r="H540" s="187">
        <f t="shared" si="62"/>
        <v>-100</v>
      </c>
      <c r="I540" s="188"/>
      <c r="J540" s="189"/>
      <c r="K540" s="190" t="s">
        <v>19</v>
      </c>
      <c r="L540" s="191" t="s">
        <v>19</v>
      </c>
      <c r="M540" s="192"/>
      <c r="P540" s="174"/>
      <c r="Q540" s="175"/>
      <c r="R540" s="175"/>
      <c r="S540" s="175"/>
      <c r="T540" s="175"/>
      <c r="U540" s="175"/>
      <c r="V540" s="175"/>
      <c r="W540" s="175"/>
      <c r="X540" s="175"/>
      <c r="Y540" s="175"/>
    </row>
    <row r="541" spans="1:42" s="173" customFormat="1" x14ac:dyDescent="0.6">
      <c r="A541" s="196">
        <v>1</v>
      </c>
      <c r="B541" s="183" t="s">
        <v>135</v>
      </c>
      <c r="C541" s="186"/>
      <c r="D541" s="184">
        <v>40000</v>
      </c>
      <c r="E541" s="184"/>
      <c r="F541" s="185">
        <v>0</v>
      </c>
      <c r="G541" s="186">
        <f t="shared" si="61"/>
        <v>0</v>
      </c>
      <c r="H541" s="187">
        <f t="shared" si="62"/>
        <v>0</v>
      </c>
      <c r="I541" s="188"/>
      <c r="J541" s="189">
        <f>IFERROR(I541/#REF!*100,)</f>
        <v>0</v>
      </c>
      <c r="K541" s="190" t="s">
        <v>19</v>
      </c>
      <c r="L541" s="191" t="s">
        <v>19</v>
      </c>
      <c r="M541" s="173" t="s">
        <v>165</v>
      </c>
      <c r="P541" s="175"/>
      <c r="Q541" s="175"/>
      <c r="R541" s="175"/>
      <c r="S541" s="175"/>
      <c r="T541" s="175"/>
      <c r="U541" s="175"/>
      <c r="V541" s="175"/>
      <c r="W541" s="175"/>
      <c r="X541" s="175"/>
      <c r="Y541" s="175"/>
    </row>
    <row r="542" spans="1:42" s="198" customFormat="1" ht="56.15" customHeight="1" x14ac:dyDescent="0.35">
      <c r="A542" s="316" t="s">
        <v>25</v>
      </c>
      <c r="B542" s="316"/>
      <c r="C542" s="207">
        <f>SUM(C536:C540)</f>
        <v>2826867.05</v>
      </c>
      <c r="D542" s="207">
        <f>SUM(D536:D541)</f>
        <v>2835848.21</v>
      </c>
      <c r="E542" s="207">
        <f>SUM(E536:E541)</f>
        <v>930373.79</v>
      </c>
      <c r="F542" s="207">
        <f>SUM(F536:F541)</f>
        <v>0</v>
      </c>
      <c r="G542" s="207">
        <f>SUM(G536:G541)</f>
        <v>930373.79</v>
      </c>
      <c r="H542" s="208">
        <f t="shared" si="62"/>
        <v>0.31770719461322017</v>
      </c>
      <c r="I542" s="208">
        <f>SUM(I536:I540)</f>
        <v>0</v>
      </c>
      <c r="J542" s="208">
        <f>IFERROR(I542/#REF!*100,)</f>
        <v>0</v>
      </c>
      <c r="K542" s="208"/>
      <c r="L542" s="209">
        <f>SUM(L536:L540)</f>
        <v>0</v>
      </c>
      <c r="M542" s="197"/>
    </row>
    <row r="543" spans="1:42" s="12" customFormat="1" ht="56.15" customHeight="1" x14ac:dyDescent="0.35">
      <c r="A543" s="210"/>
      <c r="B543" s="210"/>
      <c r="C543" s="211"/>
      <c r="D543" s="211"/>
      <c r="E543" s="211"/>
      <c r="F543" s="211"/>
      <c r="G543" s="211"/>
      <c r="H543" s="57"/>
      <c r="I543" s="57"/>
      <c r="J543" s="57"/>
      <c r="K543" s="57"/>
      <c r="L543" s="145"/>
      <c r="M543" s="55"/>
    </row>
    <row r="544" spans="1:42" ht="55.9" customHeight="1" x14ac:dyDescent="0.6">
      <c r="A544" s="47"/>
      <c r="B544" s="47"/>
      <c r="C544" s="47"/>
      <c r="D544" s="47"/>
      <c r="E544" s="47"/>
      <c r="F544" s="47"/>
      <c r="G544" s="47"/>
      <c r="H544" s="47"/>
      <c r="I544" s="141"/>
      <c r="J544" s="141"/>
    </row>
    <row r="545" spans="1:42" ht="97.5" customHeight="1" x14ac:dyDescent="0.6">
      <c r="A545" s="220" t="s">
        <v>1</v>
      </c>
      <c r="B545" s="221"/>
      <c r="C545" s="222" t="s">
        <v>273</v>
      </c>
      <c r="D545" s="222"/>
      <c r="E545" s="222"/>
      <c r="F545" s="222"/>
      <c r="G545" s="222"/>
      <c r="H545" s="222"/>
      <c r="I545" s="159"/>
      <c r="J545" s="159"/>
      <c r="P545" s="2"/>
      <c r="Q545" s="3"/>
      <c r="R545" s="3"/>
      <c r="S545" s="3"/>
      <c r="T545" s="3"/>
      <c r="U545" s="3"/>
      <c r="V545" s="3"/>
      <c r="W545" s="3"/>
      <c r="X545" s="3"/>
      <c r="Y545" s="3"/>
    </row>
    <row r="546" spans="1:42" ht="97.5" customHeight="1" x14ac:dyDescent="0.6">
      <c r="A546" s="221" t="s">
        <v>3</v>
      </c>
      <c r="B546" s="221"/>
      <c r="C546" s="222" t="s">
        <v>35</v>
      </c>
      <c r="D546" s="222"/>
      <c r="E546" s="222"/>
      <c r="F546" s="222"/>
      <c r="G546" s="222"/>
      <c r="H546" s="222"/>
      <c r="I546" s="160"/>
      <c r="J546" s="160"/>
      <c r="X546" s="3"/>
      <c r="Y546" s="3"/>
    </row>
    <row r="547" spans="1:42" s="6" customFormat="1" ht="49.5" customHeight="1" x14ac:dyDescent="0.6">
      <c r="A547" s="20"/>
      <c r="B547" s="4"/>
      <c r="C547" s="106"/>
      <c r="D547" s="106"/>
      <c r="E547" s="106"/>
      <c r="F547" s="106"/>
      <c r="G547" s="106"/>
      <c r="H547" s="5"/>
      <c r="I547" s="155"/>
      <c r="J547" s="155"/>
      <c r="K547" s="27"/>
      <c r="L547" s="95"/>
      <c r="P547" s="7"/>
      <c r="Q547" s="8"/>
      <c r="R547" s="8"/>
      <c r="S547" s="8"/>
      <c r="T547" s="8"/>
      <c r="U547" s="8"/>
      <c r="V547" s="8"/>
      <c r="W547" s="8"/>
      <c r="X547" s="8"/>
      <c r="Y547" s="8"/>
    </row>
    <row r="548" spans="1:42" ht="97.5" customHeight="1" x14ac:dyDescent="0.6">
      <c r="A548" s="223" t="s">
        <v>5</v>
      </c>
      <c r="B548" s="224"/>
      <c r="C548" s="223" t="s">
        <v>6</v>
      </c>
      <c r="D548" s="224"/>
      <c r="E548" s="224"/>
      <c r="F548" s="224"/>
      <c r="G548" s="224"/>
      <c r="H548" s="225"/>
      <c r="I548" s="226" t="s">
        <v>7</v>
      </c>
      <c r="J548" s="227"/>
      <c r="K548" s="233" t="s">
        <v>309</v>
      </c>
      <c r="L548" s="236" t="s">
        <v>9</v>
      </c>
      <c r="O548" s="8"/>
      <c r="P548" s="8"/>
      <c r="Q548" s="8"/>
      <c r="R548" s="8"/>
      <c r="S548" s="8"/>
      <c r="T548" s="8"/>
      <c r="U548" s="8"/>
      <c r="V548" s="8"/>
      <c r="W548" s="3"/>
      <c r="X548" s="3"/>
      <c r="Y548" s="3"/>
    </row>
    <row r="549" spans="1:42" ht="56.15" customHeight="1" x14ac:dyDescent="0.6">
      <c r="A549" s="223" t="s">
        <v>10</v>
      </c>
      <c r="B549" s="224"/>
      <c r="C549" s="229" t="s">
        <v>11</v>
      </c>
      <c r="D549" s="242" t="s">
        <v>310</v>
      </c>
      <c r="E549" s="223" t="s">
        <v>313</v>
      </c>
      <c r="F549" s="224"/>
      <c r="G549" s="225"/>
      <c r="H549" s="239" t="s">
        <v>315</v>
      </c>
      <c r="I549" s="240" t="s">
        <v>14</v>
      </c>
      <c r="J549" s="240" t="s">
        <v>15</v>
      </c>
      <c r="K549" s="234"/>
      <c r="L549" s="237"/>
      <c r="O549" s="8"/>
      <c r="P549" s="8"/>
      <c r="Q549" s="8"/>
      <c r="R549" s="8"/>
      <c r="S549" s="8"/>
      <c r="T549" s="8"/>
      <c r="U549" s="8"/>
      <c r="V549" s="8"/>
      <c r="W549" s="3"/>
      <c r="X549" s="3"/>
      <c r="Y549" s="3"/>
    </row>
    <row r="550" spans="1:42" ht="97.5" customHeight="1" x14ac:dyDescent="0.6">
      <c r="A550" s="16" t="s">
        <v>16</v>
      </c>
      <c r="B550" s="16" t="s">
        <v>17</v>
      </c>
      <c r="C550" s="230"/>
      <c r="D550" s="243"/>
      <c r="E550" s="16" t="s">
        <v>311</v>
      </c>
      <c r="F550" s="16" t="s">
        <v>312</v>
      </c>
      <c r="G550" s="16" t="s">
        <v>314</v>
      </c>
      <c r="H550" s="239"/>
      <c r="I550" s="241"/>
      <c r="J550" s="241"/>
      <c r="K550" s="235"/>
      <c r="L550" s="238"/>
      <c r="O550" s="8"/>
      <c r="P550" s="8"/>
      <c r="Q550" s="8"/>
      <c r="R550" s="8"/>
      <c r="S550" s="8"/>
      <c r="T550" s="8"/>
      <c r="U550" s="8"/>
      <c r="V550" s="8"/>
      <c r="W550" s="3"/>
      <c r="X550" s="3"/>
      <c r="Y550" s="3"/>
      <c r="AP550" s="1" t="s">
        <v>18</v>
      </c>
    </row>
    <row r="551" spans="1:42" ht="55.9" customHeight="1" x14ac:dyDescent="0.6">
      <c r="A551" s="35">
        <v>1</v>
      </c>
      <c r="B551" s="25" t="s">
        <v>408</v>
      </c>
      <c r="C551" s="107">
        <v>1698908.63</v>
      </c>
      <c r="D551" s="103">
        <v>0</v>
      </c>
      <c r="E551" s="103">
        <v>0</v>
      </c>
      <c r="F551" s="111">
        <v>437469.97</v>
      </c>
      <c r="G551" s="111">
        <f>E551+F551</f>
        <v>437469.97</v>
      </c>
      <c r="H551" s="18">
        <f t="shared" ref="H551:H559" si="63">IFERROR(D551/C551*100-100,0)</f>
        <v>-100</v>
      </c>
      <c r="I551" s="9">
        <v>0</v>
      </c>
      <c r="J551" s="10">
        <f>IFERROR(I551/#REF!*100,)</f>
        <v>0</v>
      </c>
      <c r="K551" s="28" t="s">
        <v>19</v>
      </c>
      <c r="L551" s="94" t="s">
        <v>19</v>
      </c>
      <c r="M551" s="48"/>
      <c r="O551" s="8"/>
      <c r="P551" s="2"/>
      <c r="Q551" s="3"/>
      <c r="R551" s="3"/>
      <c r="S551" s="3"/>
      <c r="T551" s="3"/>
      <c r="U551" s="3"/>
      <c r="V551" s="3"/>
      <c r="W551" s="3"/>
      <c r="X551" s="3"/>
      <c r="Y551" s="3"/>
      <c r="AP551" s="1" t="s">
        <v>20</v>
      </c>
    </row>
    <row r="552" spans="1:42" ht="143.5" customHeight="1" x14ac:dyDescent="0.6">
      <c r="A552" s="35">
        <v>1</v>
      </c>
      <c r="B552" s="32" t="s">
        <v>409</v>
      </c>
      <c r="C552" s="103">
        <v>0</v>
      </c>
      <c r="D552" s="103">
        <v>0</v>
      </c>
      <c r="E552" s="126">
        <v>0</v>
      </c>
      <c r="F552" s="218">
        <f>(417.5*8)+7000</f>
        <v>10340</v>
      </c>
      <c r="G552" s="111">
        <f t="shared" ref="G552:G558" si="64">E552+F552</f>
        <v>10340</v>
      </c>
      <c r="H552" s="18">
        <f t="shared" si="63"/>
        <v>0</v>
      </c>
      <c r="I552" s="136">
        <v>0</v>
      </c>
      <c r="J552" s="137"/>
      <c r="K552" s="28" t="s">
        <v>19</v>
      </c>
      <c r="L552" s="94" t="s">
        <v>19</v>
      </c>
      <c r="M552" s="48" t="s">
        <v>301</v>
      </c>
      <c r="O552" s="3"/>
      <c r="P552" s="2"/>
      <c r="Q552" s="3"/>
      <c r="R552" s="3"/>
      <c r="S552" s="3"/>
      <c r="T552" s="3"/>
      <c r="U552" s="3"/>
      <c r="V552" s="3"/>
      <c r="W552" s="3"/>
      <c r="X552" s="3"/>
      <c r="Y552" s="3"/>
    </row>
    <row r="553" spans="1:42" ht="78" x14ac:dyDescent="0.6">
      <c r="A553" s="35">
        <v>1</v>
      </c>
      <c r="B553" s="25" t="s">
        <v>102</v>
      </c>
      <c r="C553" s="103">
        <v>20000</v>
      </c>
      <c r="D553" s="104">
        <v>0</v>
      </c>
      <c r="E553" s="125">
        <v>0</v>
      </c>
      <c r="F553" s="219">
        <v>40000</v>
      </c>
      <c r="G553" s="111">
        <f t="shared" si="64"/>
        <v>40000</v>
      </c>
      <c r="H553" s="18">
        <f t="shared" si="63"/>
        <v>-100</v>
      </c>
      <c r="I553" s="9">
        <v>0</v>
      </c>
      <c r="J553" s="10">
        <f>IFERROR(I553/#REF!*100,)</f>
        <v>0</v>
      </c>
      <c r="K553" s="28" t="s">
        <v>19</v>
      </c>
      <c r="L553" s="94" t="s">
        <v>19</v>
      </c>
      <c r="M553" s="48"/>
      <c r="P553" s="2"/>
      <c r="Q553" s="3"/>
      <c r="R553" s="3"/>
      <c r="S553" s="3"/>
      <c r="T553" s="3"/>
      <c r="U553" s="3"/>
      <c r="V553" s="3"/>
      <c r="W553" s="3"/>
      <c r="X553" s="3"/>
      <c r="Y553" s="3"/>
      <c r="AP553" s="1" t="s">
        <v>22</v>
      </c>
    </row>
    <row r="554" spans="1:42" ht="176.15" customHeight="1" x14ac:dyDescent="0.6">
      <c r="A554" s="35">
        <v>1</v>
      </c>
      <c r="B554" s="32" t="s">
        <v>410</v>
      </c>
      <c r="C554" s="103">
        <v>777954.2</v>
      </c>
      <c r="D554" s="104">
        <v>0</v>
      </c>
      <c r="E554" s="104">
        <v>0</v>
      </c>
      <c r="F554" s="146">
        <f>(7397.46*8)+(11105.05*8)+(7067.47*8)+(673.5*8)+(852*8)+(6000*8)+(1029.54*8)+(7360.61*8)+(810*8)+(3920.83*8)+(1796*8)+(1369*8)+(480*8)+(1370.96*8)+(1200*8)+(771.48*8)+(2600*8)+(2483.33*8)+(150*8)+(1375*8)+(150*8)+(6000*8)+(983.33*8)+(700*8)+(50*8)+(147.5*8)-2286.14</f>
        <v>540458.34000000008</v>
      </c>
      <c r="G554" s="111">
        <f t="shared" si="64"/>
        <v>540458.34000000008</v>
      </c>
      <c r="H554" s="18">
        <f t="shared" si="63"/>
        <v>-100</v>
      </c>
      <c r="I554" s="9">
        <v>0</v>
      </c>
      <c r="J554" s="10">
        <f>IFERROR(I554/#REF!*100,)</f>
        <v>0</v>
      </c>
      <c r="K554" s="28" t="s">
        <v>19</v>
      </c>
      <c r="L554" s="94" t="s">
        <v>19</v>
      </c>
      <c r="M554" s="48" t="s">
        <v>302</v>
      </c>
      <c r="P554" s="2"/>
      <c r="Q554" s="3"/>
      <c r="R554" s="3"/>
      <c r="S554" s="3"/>
      <c r="T554" s="3"/>
      <c r="U554" s="3"/>
      <c r="V554" s="3"/>
      <c r="W554" s="3"/>
      <c r="X554" s="3"/>
      <c r="Y554" s="3"/>
    </row>
    <row r="555" spans="1:42" ht="52" hidden="1" x14ac:dyDescent="0.6">
      <c r="A555" s="73">
        <v>1</v>
      </c>
      <c r="B555" s="67" t="s">
        <v>105</v>
      </c>
      <c r="C555" s="105">
        <v>17000</v>
      </c>
      <c r="D555" s="105">
        <v>0</v>
      </c>
      <c r="E555" s="105"/>
      <c r="F555" s="110">
        <v>0</v>
      </c>
      <c r="G555" s="111">
        <f t="shared" si="64"/>
        <v>0</v>
      </c>
      <c r="H555" s="76">
        <f t="shared" si="63"/>
        <v>-100</v>
      </c>
      <c r="I555" s="77"/>
      <c r="J555" s="78">
        <f>IFERROR(I555/#REF!*100,)</f>
        <v>0</v>
      </c>
      <c r="K555" s="79" t="s">
        <v>106</v>
      </c>
      <c r="L555" s="97" t="s">
        <v>19</v>
      </c>
      <c r="P555" s="3"/>
      <c r="Q555" s="3"/>
      <c r="R555" s="3"/>
      <c r="S555" s="3"/>
      <c r="T555" s="3"/>
      <c r="U555" s="3"/>
      <c r="V555" s="3"/>
      <c r="W555" s="3"/>
      <c r="X555" s="3"/>
      <c r="Y555" s="3"/>
    </row>
    <row r="556" spans="1:42" x14ac:dyDescent="0.6">
      <c r="A556" s="37">
        <v>1</v>
      </c>
      <c r="B556" s="32" t="s">
        <v>135</v>
      </c>
      <c r="C556" s="111"/>
      <c r="D556" s="103">
        <v>0</v>
      </c>
      <c r="E556" s="103">
        <v>0</v>
      </c>
      <c r="F556" s="111">
        <f>1166.5*10</f>
        <v>11665</v>
      </c>
      <c r="G556" s="111">
        <f t="shared" si="64"/>
        <v>11665</v>
      </c>
      <c r="H556" s="18">
        <f t="shared" si="63"/>
        <v>0</v>
      </c>
      <c r="I556" s="136">
        <v>0</v>
      </c>
      <c r="J556" s="137">
        <f>IFERROR(I556/#REF!*100,)</f>
        <v>0</v>
      </c>
      <c r="K556" s="28" t="s">
        <v>19</v>
      </c>
      <c r="L556" s="94" t="s">
        <v>19</v>
      </c>
      <c r="M556" s="1" t="s">
        <v>165</v>
      </c>
      <c r="P556" s="3"/>
      <c r="Q556" s="3"/>
      <c r="R556" s="3"/>
      <c r="S556" s="3"/>
      <c r="T556" s="3"/>
      <c r="U556" s="3"/>
      <c r="V556" s="3"/>
      <c r="W556" s="3"/>
      <c r="X556" s="3"/>
      <c r="Y556" s="3"/>
    </row>
    <row r="557" spans="1:42" ht="100" customHeight="1" x14ac:dyDescent="0.6">
      <c r="A557" s="35">
        <v>1</v>
      </c>
      <c r="B557" s="32" t="s">
        <v>228</v>
      </c>
      <c r="C557" s="111"/>
      <c r="D557" s="103">
        <v>0</v>
      </c>
      <c r="E557" s="103">
        <v>0</v>
      </c>
      <c r="F557" s="111">
        <v>3000</v>
      </c>
      <c r="G557" s="111">
        <f t="shared" si="64"/>
        <v>3000</v>
      </c>
      <c r="H557" s="18">
        <f t="shared" si="63"/>
        <v>0</v>
      </c>
      <c r="I557" s="9">
        <v>0</v>
      </c>
      <c r="J557" s="137">
        <f>IFERROR(I557/#REF!*100,)</f>
        <v>0</v>
      </c>
      <c r="K557" s="28" t="s">
        <v>225</v>
      </c>
      <c r="L557" s="94" t="s">
        <v>19</v>
      </c>
      <c r="P557" s="3"/>
      <c r="Q557" s="3"/>
      <c r="R557" s="3"/>
      <c r="S557" s="3"/>
      <c r="T557" s="3"/>
      <c r="U557" s="3"/>
      <c r="V557" s="3"/>
      <c r="W557" s="3"/>
      <c r="X557" s="3"/>
      <c r="Y557" s="3"/>
    </row>
    <row r="558" spans="1:42" ht="100" customHeight="1" x14ac:dyDescent="0.6">
      <c r="A558" s="35">
        <v>1</v>
      </c>
      <c r="B558" s="32" t="s">
        <v>233</v>
      </c>
      <c r="C558" s="111"/>
      <c r="D558" s="103">
        <v>0</v>
      </c>
      <c r="E558" s="103">
        <v>0</v>
      </c>
      <c r="F558" s="111">
        <f>5000-5000</f>
        <v>0</v>
      </c>
      <c r="G558" s="111">
        <f t="shared" si="64"/>
        <v>0</v>
      </c>
      <c r="H558" s="18">
        <f t="shared" si="63"/>
        <v>0</v>
      </c>
      <c r="I558" s="9">
        <v>0</v>
      </c>
      <c r="J558" s="137">
        <f>IFERROR(I558/#REF!*100,)</f>
        <v>0</v>
      </c>
      <c r="K558" s="28" t="s">
        <v>226</v>
      </c>
      <c r="L558" s="94" t="s">
        <v>19</v>
      </c>
      <c r="P558" s="3"/>
      <c r="Q558" s="3"/>
      <c r="R558" s="3"/>
      <c r="S558" s="3"/>
      <c r="T558" s="3"/>
      <c r="U558" s="3"/>
      <c r="V558" s="3"/>
      <c r="W558" s="3"/>
      <c r="X558" s="3"/>
      <c r="Y558" s="3"/>
    </row>
    <row r="559" spans="1:42" s="12" customFormat="1" ht="56.15" customHeight="1" x14ac:dyDescent="0.35">
      <c r="A559" s="228" t="s">
        <v>25</v>
      </c>
      <c r="B559" s="228"/>
      <c r="C559" s="91">
        <f>SUM(C551:C555)</f>
        <v>2513862.83</v>
      </c>
      <c r="D559" s="91">
        <f>SUM(D551:D558)</f>
        <v>0</v>
      </c>
      <c r="E559" s="91">
        <f>SUM(E551:E558)</f>
        <v>0</v>
      </c>
      <c r="F559" s="91">
        <f>SUM(F551:F558)</f>
        <v>1042933.31</v>
      </c>
      <c r="G559" s="91">
        <f>SUM(G551:G558)</f>
        <v>1042933.31</v>
      </c>
      <c r="H559" s="19">
        <f t="shared" si="63"/>
        <v>-100</v>
      </c>
      <c r="I559" s="19">
        <f>SUM(I551:I554)</f>
        <v>0</v>
      </c>
      <c r="J559" s="19">
        <f>IFERROR(I559/#REF!*100,)</f>
        <v>0</v>
      </c>
      <c r="K559" s="36"/>
      <c r="L559" s="96">
        <f>SUM(L551:L554)</f>
        <v>0</v>
      </c>
      <c r="M559" s="55"/>
    </row>
    <row r="560" spans="1:42" s="12" customFormat="1" ht="56.15" customHeight="1" x14ac:dyDescent="0.35">
      <c r="A560" s="142"/>
      <c r="B560" s="142"/>
      <c r="C560" s="143"/>
      <c r="D560" s="143"/>
      <c r="E560" s="143"/>
      <c r="F560" s="143"/>
      <c r="G560" s="143"/>
      <c r="H560" s="144"/>
      <c r="I560" s="163"/>
      <c r="J560" s="163"/>
      <c r="K560" s="57"/>
      <c r="L560" s="145"/>
      <c r="M560" s="55"/>
    </row>
    <row r="561" spans="1:42" ht="97.5" customHeight="1" x14ac:dyDescent="0.6">
      <c r="A561" s="220" t="s">
        <v>1</v>
      </c>
      <c r="B561" s="221"/>
      <c r="C561" s="222" t="s">
        <v>274</v>
      </c>
      <c r="D561" s="222"/>
      <c r="E561" s="222"/>
      <c r="F561" s="222"/>
      <c r="G561" s="222"/>
      <c r="H561" s="222"/>
      <c r="I561" s="159"/>
      <c r="J561" s="159"/>
      <c r="P561" s="2"/>
      <c r="Q561" s="3"/>
      <c r="R561" s="3"/>
      <c r="S561" s="3"/>
      <c r="T561" s="3"/>
      <c r="U561" s="3"/>
      <c r="V561" s="3"/>
      <c r="W561" s="3"/>
      <c r="X561" s="3"/>
      <c r="Y561" s="3"/>
    </row>
    <row r="562" spans="1:42" ht="97.5" customHeight="1" x14ac:dyDescent="0.6">
      <c r="A562" s="221" t="s">
        <v>3</v>
      </c>
      <c r="B562" s="221"/>
      <c r="C562" s="222" t="s">
        <v>32</v>
      </c>
      <c r="D562" s="222"/>
      <c r="E562" s="222"/>
      <c r="F562" s="222"/>
      <c r="G562" s="222"/>
      <c r="H562" s="222"/>
      <c r="I562" s="160"/>
      <c r="J562" s="160"/>
      <c r="X562" s="3"/>
      <c r="Y562" s="3"/>
    </row>
    <row r="563" spans="1:42" s="6" customFormat="1" ht="49.5" customHeight="1" x14ac:dyDescent="0.6">
      <c r="A563" s="20"/>
      <c r="B563" s="4"/>
      <c r="C563" s="106"/>
      <c r="D563" s="106"/>
      <c r="E563" s="106"/>
      <c r="F563" s="106"/>
      <c r="G563" s="106"/>
      <c r="H563" s="5"/>
      <c r="I563" s="155"/>
      <c r="J563" s="155"/>
      <c r="K563" s="27"/>
      <c r="L563" s="95"/>
      <c r="P563" s="7"/>
      <c r="Q563" s="8"/>
      <c r="R563" s="8"/>
      <c r="S563" s="8"/>
      <c r="T563" s="8"/>
      <c r="U563" s="8"/>
      <c r="V563" s="8"/>
      <c r="W563" s="8"/>
      <c r="X563" s="8"/>
      <c r="Y563" s="8"/>
    </row>
    <row r="564" spans="1:42" ht="97.5" customHeight="1" x14ac:dyDescent="0.6">
      <c r="A564" s="223" t="s">
        <v>5</v>
      </c>
      <c r="B564" s="224"/>
      <c r="C564" s="223" t="s">
        <v>6</v>
      </c>
      <c r="D564" s="224"/>
      <c r="E564" s="224"/>
      <c r="F564" s="224"/>
      <c r="G564" s="224"/>
      <c r="H564" s="225"/>
      <c r="I564" s="226" t="s">
        <v>7</v>
      </c>
      <c r="J564" s="227"/>
      <c r="K564" s="233" t="s">
        <v>309</v>
      </c>
      <c r="L564" s="236" t="s">
        <v>9</v>
      </c>
      <c r="O564" s="8"/>
      <c r="P564" s="8"/>
      <c r="Q564" s="8"/>
      <c r="R564" s="8"/>
      <c r="S564" s="8"/>
      <c r="T564" s="8"/>
      <c r="U564" s="8"/>
      <c r="V564" s="8"/>
      <c r="W564" s="3"/>
      <c r="X564" s="3"/>
      <c r="Y564" s="3"/>
    </row>
    <row r="565" spans="1:42" ht="56.15" customHeight="1" x14ac:dyDescent="0.6">
      <c r="A565" s="223" t="s">
        <v>10</v>
      </c>
      <c r="B565" s="224"/>
      <c r="C565" s="229" t="s">
        <v>11</v>
      </c>
      <c r="D565" s="242" t="s">
        <v>310</v>
      </c>
      <c r="E565" s="223" t="s">
        <v>313</v>
      </c>
      <c r="F565" s="224"/>
      <c r="G565" s="225"/>
      <c r="H565" s="239" t="s">
        <v>315</v>
      </c>
      <c r="I565" s="240" t="s">
        <v>14</v>
      </c>
      <c r="J565" s="240" t="s">
        <v>15</v>
      </c>
      <c r="K565" s="234"/>
      <c r="L565" s="237"/>
      <c r="O565" s="8"/>
      <c r="P565" s="8"/>
      <c r="Q565" s="8"/>
      <c r="R565" s="8"/>
      <c r="S565" s="8"/>
      <c r="T565" s="8"/>
      <c r="U565" s="8"/>
      <c r="V565" s="8"/>
      <c r="W565" s="3"/>
      <c r="X565" s="3"/>
      <c r="Y565" s="3"/>
    </row>
    <row r="566" spans="1:42" ht="97.5" customHeight="1" x14ac:dyDescent="0.6">
      <c r="A566" s="16" t="s">
        <v>16</v>
      </c>
      <c r="B566" s="16" t="s">
        <v>17</v>
      </c>
      <c r="C566" s="230"/>
      <c r="D566" s="243"/>
      <c r="E566" s="16" t="s">
        <v>311</v>
      </c>
      <c r="F566" s="16" t="s">
        <v>312</v>
      </c>
      <c r="G566" s="16" t="s">
        <v>314</v>
      </c>
      <c r="H566" s="239"/>
      <c r="I566" s="241"/>
      <c r="J566" s="241"/>
      <c r="K566" s="235"/>
      <c r="L566" s="238"/>
      <c r="O566" s="8"/>
      <c r="P566" s="8"/>
      <c r="Q566" s="8"/>
      <c r="R566" s="8"/>
      <c r="S566" s="8"/>
      <c r="T566" s="8"/>
      <c r="U566" s="8"/>
      <c r="V566" s="8"/>
      <c r="W566" s="3"/>
      <c r="X566" s="3"/>
      <c r="Y566" s="3"/>
      <c r="AP566" s="1" t="s">
        <v>18</v>
      </c>
    </row>
    <row r="567" spans="1:42" ht="55.9" customHeight="1" x14ac:dyDescent="0.6">
      <c r="A567" s="35">
        <v>1</v>
      </c>
      <c r="B567" s="25" t="s">
        <v>411</v>
      </c>
      <c r="C567" s="107">
        <v>1698908.63</v>
      </c>
      <c r="D567" s="103">
        <v>0</v>
      </c>
      <c r="E567" s="103">
        <v>0</v>
      </c>
      <c r="F567" s="111">
        <v>1114141.77</v>
      </c>
      <c r="G567" s="111">
        <f>E567+F567</f>
        <v>1114141.77</v>
      </c>
      <c r="H567" s="18">
        <f t="shared" ref="H567:H572" si="65">IFERROR(D567/C567*100-100,0)</f>
        <v>-100</v>
      </c>
      <c r="I567" s="9">
        <v>0</v>
      </c>
      <c r="J567" s="10">
        <f>IFERROR(I567/#REF!*100,)</f>
        <v>0</v>
      </c>
      <c r="K567" s="28" t="s">
        <v>19</v>
      </c>
      <c r="L567" s="94" t="s">
        <v>19</v>
      </c>
      <c r="M567" s="48"/>
      <c r="O567" s="8"/>
      <c r="P567" s="2"/>
      <c r="Q567" s="3"/>
      <c r="R567" s="3"/>
      <c r="S567" s="3"/>
      <c r="T567" s="3"/>
      <c r="U567" s="3"/>
      <c r="V567" s="3"/>
      <c r="W567" s="3"/>
      <c r="X567" s="3"/>
      <c r="Y567" s="3"/>
      <c r="AP567" s="1" t="s">
        <v>20</v>
      </c>
    </row>
    <row r="568" spans="1:42" ht="143.5" customHeight="1" x14ac:dyDescent="0.6">
      <c r="A568" s="35">
        <v>1</v>
      </c>
      <c r="B568" s="32" t="s">
        <v>412</v>
      </c>
      <c r="C568" s="103">
        <v>0</v>
      </c>
      <c r="D568" s="103">
        <v>0</v>
      </c>
      <c r="E568" s="126">
        <v>0</v>
      </c>
      <c r="F568" s="218">
        <f>(1252.5*8)+5000</f>
        <v>15020</v>
      </c>
      <c r="G568" s="111">
        <f t="shared" ref="G568:G572" si="66">E568+F568</f>
        <v>15020</v>
      </c>
      <c r="H568" s="18">
        <f t="shared" si="65"/>
        <v>0</v>
      </c>
      <c r="I568" s="136">
        <v>0</v>
      </c>
      <c r="J568" s="10">
        <f>IFERROR(I568/#REF!*100,)</f>
        <v>0</v>
      </c>
      <c r="K568" s="28" t="s">
        <v>19</v>
      </c>
      <c r="L568" s="94" t="s">
        <v>19</v>
      </c>
      <c r="M568" s="48" t="s">
        <v>303</v>
      </c>
      <c r="O568" s="3"/>
      <c r="P568" s="2"/>
      <c r="Q568" s="3"/>
      <c r="R568" s="3"/>
      <c r="S568" s="3"/>
      <c r="T568" s="3"/>
      <c r="U568" s="3"/>
      <c r="V568" s="3"/>
      <c r="W568" s="3"/>
      <c r="X568" s="3"/>
      <c r="Y568" s="3"/>
    </row>
    <row r="569" spans="1:42" ht="159.65" customHeight="1" x14ac:dyDescent="0.6">
      <c r="A569" s="35">
        <v>1</v>
      </c>
      <c r="B569" s="32" t="s">
        <v>413</v>
      </c>
      <c r="C569" s="103">
        <v>777954.2</v>
      </c>
      <c r="D569" s="103">
        <v>0</v>
      </c>
      <c r="E569" s="103">
        <v>0</v>
      </c>
      <c r="F569" s="111">
        <f>(1300*8)</f>
        <v>10400</v>
      </c>
      <c r="G569" s="111">
        <f t="shared" si="66"/>
        <v>10400</v>
      </c>
      <c r="H569" s="18">
        <f t="shared" si="65"/>
        <v>-100</v>
      </c>
      <c r="I569" s="136">
        <v>0</v>
      </c>
      <c r="J569" s="10">
        <f>IFERROR(I569/#REF!*100,)</f>
        <v>0</v>
      </c>
      <c r="K569" s="28" t="s">
        <v>19</v>
      </c>
      <c r="L569" s="94" t="s">
        <v>19</v>
      </c>
      <c r="M569" s="48" t="s">
        <v>304</v>
      </c>
      <c r="P569" s="2"/>
      <c r="Q569" s="3"/>
      <c r="R569" s="3"/>
      <c r="S569" s="3"/>
      <c r="T569" s="3"/>
      <c r="U569" s="3"/>
      <c r="V569" s="3"/>
      <c r="W569" s="3"/>
      <c r="X569" s="3"/>
      <c r="Y569" s="3"/>
    </row>
    <row r="570" spans="1:42" ht="75" customHeight="1" x14ac:dyDescent="0.6">
      <c r="A570" s="35">
        <v>1</v>
      </c>
      <c r="B570" s="25" t="s">
        <v>414</v>
      </c>
      <c r="C570" s="107">
        <v>330004.21999999997</v>
      </c>
      <c r="D570" s="104">
        <v>0</v>
      </c>
      <c r="E570" s="104">
        <v>0</v>
      </c>
      <c r="F570" s="146">
        <f>205000+10000+16000+10000</f>
        <v>241000</v>
      </c>
      <c r="G570" s="111">
        <f t="shared" si="66"/>
        <v>241000</v>
      </c>
      <c r="H570" s="18">
        <f t="shared" si="65"/>
        <v>-100</v>
      </c>
      <c r="I570" s="9">
        <v>0</v>
      </c>
      <c r="J570" s="10">
        <f>IFERROR(I570/#REF!*100,)</f>
        <v>0</v>
      </c>
      <c r="K570" s="28" t="s">
        <v>19</v>
      </c>
      <c r="L570" s="94" t="s">
        <v>19</v>
      </c>
      <c r="M570" s="48"/>
      <c r="P570" s="2"/>
      <c r="Q570" s="3"/>
      <c r="R570" s="3"/>
      <c r="S570" s="3"/>
      <c r="T570" s="3"/>
      <c r="U570" s="3"/>
      <c r="V570" s="3"/>
      <c r="W570" s="3"/>
      <c r="X570" s="3"/>
      <c r="Y570" s="3"/>
    </row>
    <row r="571" spans="1:42" ht="52" hidden="1" x14ac:dyDescent="0.6">
      <c r="A571" s="73">
        <v>1</v>
      </c>
      <c r="B571" s="67" t="s">
        <v>105</v>
      </c>
      <c r="C571" s="105">
        <v>17000</v>
      </c>
      <c r="D571" s="105"/>
      <c r="E571" s="105"/>
      <c r="F571" s="110">
        <v>0</v>
      </c>
      <c r="G571" s="111">
        <f t="shared" si="66"/>
        <v>0</v>
      </c>
      <c r="H571" s="18">
        <f t="shared" si="65"/>
        <v>-100</v>
      </c>
      <c r="I571" s="77"/>
      <c r="J571" s="10">
        <f>IFERROR(I571/#REF!*100,)</f>
        <v>0</v>
      </c>
      <c r="K571" s="79" t="s">
        <v>106</v>
      </c>
      <c r="L571" s="97" t="s">
        <v>19</v>
      </c>
      <c r="P571" s="3"/>
      <c r="Q571" s="3"/>
      <c r="R571" s="3"/>
      <c r="S571" s="3"/>
      <c r="T571" s="3"/>
      <c r="U571" s="3"/>
      <c r="V571" s="3"/>
      <c r="W571" s="3"/>
      <c r="X571" s="3"/>
      <c r="Y571" s="3"/>
    </row>
    <row r="572" spans="1:42" ht="126" customHeight="1" x14ac:dyDescent="0.6">
      <c r="A572" s="35">
        <v>1</v>
      </c>
      <c r="B572" s="32" t="s">
        <v>227</v>
      </c>
      <c r="C572" s="111"/>
      <c r="D572" s="103">
        <v>0</v>
      </c>
      <c r="E572" s="103">
        <v>0</v>
      </c>
      <c r="F572" s="111">
        <v>0</v>
      </c>
      <c r="G572" s="111">
        <f t="shared" si="66"/>
        <v>0</v>
      </c>
      <c r="H572" s="18">
        <f t="shared" si="65"/>
        <v>0</v>
      </c>
      <c r="I572" s="9">
        <v>0</v>
      </c>
      <c r="J572" s="10">
        <f>IFERROR(I572/#REF!*100,)</f>
        <v>0</v>
      </c>
      <c r="K572" s="28" t="s">
        <v>224</v>
      </c>
      <c r="L572" s="94" t="s">
        <v>19</v>
      </c>
      <c r="P572" s="3"/>
      <c r="Q572" s="3"/>
      <c r="R572" s="3"/>
      <c r="S572" s="3"/>
      <c r="T572" s="3"/>
      <c r="U572" s="3"/>
      <c r="V572" s="3"/>
      <c r="W572" s="3"/>
      <c r="X572" s="3"/>
      <c r="Y572" s="3"/>
    </row>
    <row r="573" spans="1:42" s="12" customFormat="1" ht="56.15" customHeight="1" x14ac:dyDescent="0.35">
      <c r="A573" s="228" t="s">
        <v>25</v>
      </c>
      <c r="B573" s="228"/>
      <c r="C573" s="91">
        <f>SUM(C567:C571)</f>
        <v>2823867.05</v>
      </c>
      <c r="D573" s="91">
        <f>SUM(D567:D572)</f>
        <v>0</v>
      </c>
      <c r="E573" s="91">
        <f>SUM(E567:E572)</f>
        <v>0</v>
      </c>
      <c r="F573" s="91">
        <f>SUM(F567:F572)</f>
        <v>1380561.77</v>
      </c>
      <c r="G573" s="91">
        <f>SUM(G567:G572)</f>
        <v>1380561.77</v>
      </c>
      <c r="H573" s="19">
        <f t="shared" ref="H573" si="67">IFERROR(D573/C573*100-100,0)</f>
        <v>-100</v>
      </c>
      <c r="I573" s="19">
        <f>SUM(I567:I570)</f>
        <v>0</v>
      </c>
      <c r="J573" s="19">
        <f>IFERROR(I573/#REF!*100,)</f>
        <v>0</v>
      </c>
      <c r="K573" s="36"/>
      <c r="L573" s="96">
        <f>SUM(L567:L570)</f>
        <v>0</v>
      </c>
      <c r="M573" s="55"/>
    </row>
    <row r="574" spans="1:42" s="12" customFormat="1" ht="56.15" customHeight="1" x14ac:dyDescent="0.35">
      <c r="A574" s="142"/>
      <c r="B574" s="142"/>
      <c r="C574" s="143"/>
      <c r="D574" s="143"/>
      <c r="E574" s="143"/>
      <c r="F574" s="143"/>
      <c r="G574" s="143"/>
      <c r="H574" s="144"/>
      <c r="I574" s="163"/>
      <c r="J574" s="163"/>
      <c r="K574" s="57"/>
      <c r="L574" s="145"/>
      <c r="M574" s="55"/>
    </row>
    <row r="575" spans="1:42" ht="97.5" customHeight="1" x14ac:dyDescent="0.6">
      <c r="A575" s="220" t="s">
        <v>1</v>
      </c>
      <c r="B575" s="221"/>
      <c r="C575" s="222" t="s">
        <v>97</v>
      </c>
      <c r="D575" s="222"/>
      <c r="E575" s="222"/>
      <c r="F575" s="222"/>
      <c r="G575" s="222"/>
      <c r="H575" s="222"/>
      <c r="I575" s="159"/>
      <c r="J575" s="159"/>
      <c r="P575" s="2"/>
      <c r="Q575" s="3"/>
      <c r="R575" s="3"/>
      <c r="S575" s="3"/>
      <c r="T575" s="3"/>
      <c r="U575" s="3"/>
      <c r="V575" s="3"/>
      <c r="W575" s="3"/>
      <c r="X575" s="3"/>
      <c r="Y575" s="3"/>
    </row>
    <row r="576" spans="1:42" ht="97.5" customHeight="1" x14ac:dyDescent="0.6">
      <c r="A576" s="221" t="s">
        <v>3</v>
      </c>
      <c r="B576" s="221"/>
      <c r="C576" s="222" t="s">
        <v>32</v>
      </c>
      <c r="D576" s="222"/>
      <c r="E576" s="222"/>
      <c r="F576" s="222"/>
      <c r="G576" s="222"/>
      <c r="H576" s="222"/>
      <c r="I576" s="160"/>
      <c r="J576" s="160"/>
      <c r="X576" s="3"/>
      <c r="Y576" s="3"/>
    </row>
    <row r="577" spans="1:42" s="6" customFormat="1" ht="49.5" customHeight="1" x14ac:dyDescent="0.6">
      <c r="A577" s="20"/>
      <c r="B577" s="4"/>
      <c r="C577" s="106"/>
      <c r="D577" s="106"/>
      <c r="E577" s="106"/>
      <c r="F577" s="106"/>
      <c r="G577" s="106"/>
      <c r="H577" s="5"/>
      <c r="I577" s="155"/>
      <c r="J577" s="155"/>
      <c r="K577" s="27"/>
      <c r="L577" s="95"/>
      <c r="P577" s="7"/>
      <c r="Q577" s="8"/>
      <c r="R577" s="8"/>
      <c r="S577" s="8"/>
      <c r="T577" s="8"/>
      <c r="U577" s="8"/>
      <c r="V577" s="8"/>
      <c r="W577" s="8"/>
      <c r="X577" s="8"/>
      <c r="Y577" s="8"/>
    </row>
    <row r="578" spans="1:42" ht="97.5" customHeight="1" x14ac:dyDescent="0.6">
      <c r="A578" s="223" t="s">
        <v>5</v>
      </c>
      <c r="B578" s="224"/>
      <c r="C578" s="223" t="s">
        <v>6</v>
      </c>
      <c r="D578" s="224"/>
      <c r="E578" s="224"/>
      <c r="F578" s="224"/>
      <c r="G578" s="224"/>
      <c r="H578" s="225"/>
      <c r="I578" s="226" t="s">
        <v>7</v>
      </c>
      <c r="J578" s="227"/>
      <c r="K578" s="233" t="s">
        <v>309</v>
      </c>
      <c r="L578" s="236" t="s">
        <v>9</v>
      </c>
      <c r="O578" s="8"/>
      <c r="P578" s="8"/>
      <c r="Q578" s="8"/>
      <c r="R578" s="8"/>
      <c r="S578" s="8"/>
      <c r="T578" s="8"/>
      <c r="U578" s="8"/>
      <c r="V578" s="8"/>
      <c r="W578" s="3"/>
      <c r="X578" s="3"/>
      <c r="Y578" s="3"/>
    </row>
    <row r="579" spans="1:42" ht="56.15" customHeight="1" x14ac:dyDescent="0.6">
      <c r="A579" s="223" t="s">
        <v>10</v>
      </c>
      <c r="B579" s="224"/>
      <c r="C579" s="229" t="s">
        <v>11</v>
      </c>
      <c r="D579" s="242" t="s">
        <v>310</v>
      </c>
      <c r="E579" s="223" t="s">
        <v>313</v>
      </c>
      <c r="F579" s="224"/>
      <c r="G579" s="225"/>
      <c r="H579" s="239" t="s">
        <v>315</v>
      </c>
      <c r="I579" s="240" t="s">
        <v>14</v>
      </c>
      <c r="J579" s="240" t="s">
        <v>15</v>
      </c>
      <c r="K579" s="234"/>
      <c r="L579" s="237"/>
      <c r="O579" s="8"/>
      <c r="P579" s="8"/>
      <c r="Q579" s="8"/>
      <c r="R579" s="8"/>
      <c r="S579" s="8"/>
      <c r="T579" s="8"/>
      <c r="U579" s="8"/>
      <c r="V579" s="8"/>
      <c r="W579" s="3"/>
      <c r="X579" s="3"/>
      <c r="Y579" s="3"/>
    </row>
    <row r="580" spans="1:42" ht="97.5" customHeight="1" x14ac:dyDescent="0.6">
      <c r="A580" s="16" t="s">
        <v>16</v>
      </c>
      <c r="B580" s="16" t="s">
        <v>17</v>
      </c>
      <c r="C580" s="230"/>
      <c r="D580" s="243"/>
      <c r="E580" s="16" t="s">
        <v>311</v>
      </c>
      <c r="F580" s="16" t="s">
        <v>312</v>
      </c>
      <c r="G580" s="16" t="s">
        <v>314</v>
      </c>
      <c r="H580" s="239"/>
      <c r="I580" s="241"/>
      <c r="J580" s="241"/>
      <c r="K580" s="235"/>
      <c r="L580" s="238"/>
      <c r="O580" s="8"/>
      <c r="P580" s="8"/>
      <c r="Q580" s="8"/>
      <c r="R580" s="8"/>
      <c r="S580" s="8"/>
      <c r="T580" s="8"/>
      <c r="U580" s="8"/>
      <c r="V580" s="8"/>
      <c r="W580" s="3"/>
      <c r="X580" s="3"/>
      <c r="Y580" s="3"/>
      <c r="AP580" s="1" t="s">
        <v>18</v>
      </c>
    </row>
    <row r="581" spans="1:42" ht="55.9" customHeight="1" x14ac:dyDescent="0.6">
      <c r="A581" s="29">
        <v>12</v>
      </c>
      <c r="B581" s="24" t="s">
        <v>98</v>
      </c>
      <c r="C581" s="103">
        <v>177637.15</v>
      </c>
      <c r="D581" s="104">
        <v>256850.45</v>
      </c>
      <c r="E581" s="104">
        <v>85616.8</v>
      </c>
      <c r="F581" s="146">
        <f>D581-E581</f>
        <v>171233.65000000002</v>
      </c>
      <c r="G581" s="146">
        <f>E581+F581</f>
        <v>256850.45</v>
      </c>
      <c r="H581" s="18">
        <f>IFERROR(D581/C581*100-100,0)</f>
        <v>44.592755513134506</v>
      </c>
      <c r="I581" s="9">
        <v>0</v>
      </c>
      <c r="J581" s="10">
        <f>IFERROR(I581/#REF!*100,)</f>
        <v>0</v>
      </c>
      <c r="K581" s="28" t="s">
        <v>19</v>
      </c>
      <c r="L581" s="94" t="s">
        <v>19</v>
      </c>
      <c r="O581" s="8"/>
      <c r="P581" s="2"/>
      <c r="Q581" s="3"/>
      <c r="R581" s="3"/>
      <c r="S581" s="3"/>
      <c r="T581" s="3"/>
      <c r="U581" s="3"/>
      <c r="V581" s="3"/>
      <c r="W581" s="3"/>
      <c r="X581" s="3"/>
      <c r="Y581" s="3"/>
      <c r="AP581" s="1" t="s">
        <v>20</v>
      </c>
    </row>
    <row r="582" spans="1:42" s="12" customFormat="1" ht="56.15" customHeight="1" x14ac:dyDescent="0.35">
      <c r="A582" s="228" t="s">
        <v>25</v>
      </c>
      <c r="B582" s="228"/>
      <c r="C582" s="91">
        <f>SUM(C581:C581)</f>
        <v>177637.15</v>
      </c>
      <c r="D582" s="91">
        <f>SUM(D581:D581)</f>
        <v>256850.45</v>
      </c>
      <c r="E582" s="91">
        <f>E581</f>
        <v>85616.8</v>
      </c>
      <c r="F582" s="91">
        <f>SUM(F581)</f>
        <v>171233.65000000002</v>
      </c>
      <c r="G582" s="91">
        <f>SUM(G581)</f>
        <v>256850.45</v>
      </c>
      <c r="H582" s="19">
        <f>IFERROR(D582/C582*100-100,0)</f>
        <v>44.592755513134506</v>
      </c>
      <c r="I582" s="19">
        <f>SUM(I581:I581)</f>
        <v>0</v>
      </c>
      <c r="J582" s="19">
        <f>IFERROR(I582/#REF!*100,)</f>
        <v>0</v>
      </c>
      <c r="K582" s="36"/>
      <c r="L582" s="96">
        <f>SUM(L581:L581)</f>
        <v>0</v>
      </c>
      <c r="M582" s="55"/>
    </row>
    <row r="583" spans="1:42" ht="55.9" customHeight="1" x14ac:dyDescent="0.6">
      <c r="A583" s="244"/>
      <c r="B583" s="244"/>
      <c r="C583" s="244"/>
      <c r="D583" s="244"/>
      <c r="E583" s="244"/>
      <c r="F583" s="244"/>
      <c r="G583" s="244"/>
      <c r="H583" s="244"/>
      <c r="I583" s="245"/>
      <c r="J583" s="245"/>
    </row>
    <row r="584" spans="1:42" ht="97.5" customHeight="1" x14ac:dyDescent="0.6">
      <c r="A584" s="220" t="s">
        <v>1</v>
      </c>
      <c r="B584" s="221"/>
      <c r="C584" s="222" t="s">
        <v>99</v>
      </c>
      <c r="D584" s="222"/>
      <c r="E584" s="222"/>
      <c r="F584" s="222"/>
      <c r="G584" s="222"/>
      <c r="H584" s="222"/>
      <c r="I584" s="159"/>
      <c r="J584" s="159"/>
      <c r="P584" s="2"/>
      <c r="Q584" s="3"/>
      <c r="R584" s="3"/>
      <c r="S584" s="3"/>
      <c r="T584" s="3"/>
      <c r="U584" s="3"/>
      <c r="V584" s="3"/>
      <c r="W584" s="3"/>
      <c r="X584" s="3"/>
      <c r="Y584" s="3"/>
    </row>
    <row r="585" spans="1:42" ht="97.5" customHeight="1" x14ac:dyDescent="0.6">
      <c r="A585" s="221" t="s">
        <v>3</v>
      </c>
      <c r="B585" s="221"/>
      <c r="C585" s="222" t="s">
        <v>32</v>
      </c>
      <c r="D585" s="222"/>
      <c r="E585" s="222"/>
      <c r="F585" s="222"/>
      <c r="G585" s="222"/>
      <c r="H585" s="222"/>
      <c r="I585" s="160"/>
      <c r="J585" s="160"/>
      <c r="X585" s="3"/>
      <c r="Y585" s="3"/>
    </row>
    <row r="586" spans="1:42" s="6" customFormat="1" ht="49.5" customHeight="1" x14ac:dyDescent="0.6">
      <c r="A586" s="20"/>
      <c r="B586" s="4"/>
      <c r="C586" s="106"/>
      <c r="D586" s="106"/>
      <c r="E586" s="106"/>
      <c r="F586" s="106"/>
      <c r="G586" s="106"/>
      <c r="H586" s="5"/>
      <c r="I586" s="155"/>
      <c r="J586" s="155"/>
      <c r="K586" s="27"/>
      <c r="L586" s="95"/>
      <c r="P586" s="7"/>
      <c r="Q586" s="8"/>
      <c r="R586" s="8"/>
      <c r="S586" s="8"/>
      <c r="T586" s="8"/>
      <c r="U586" s="8"/>
      <c r="V586" s="8"/>
      <c r="W586" s="8"/>
      <c r="X586" s="8"/>
      <c r="Y586" s="8"/>
    </row>
    <row r="587" spans="1:42" ht="97.5" customHeight="1" x14ac:dyDescent="0.6">
      <c r="A587" s="223" t="s">
        <v>5</v>
      </c>
      <c r="B587" s="224"/>
      <c r="C587" s="223" t="s">
        <v>6</v>
      </c>
      <c r="D587" s="224"/>
      <c r="E587" s="224"/>
      <c r="F587" s="224"/>
      <c r="G587" s="224"/>
      <c r="H587" s="225"/>
      <c r="I587" s="226" t="s">
        <v>7</v>
      </c>
      <c r="J587" s="227"/>
      <c r="K587" s="233" t="s">
        <v>309</v>
      </c>
      <c r="L587" s="236" t="s">
        <v>9</v>
      </c>
      <c r="O587" s="8"/>
      <c r="P587" s="8"/>
      <c r="Q587" s="8"/>
      <c r="R587" s="8"/>
      <c r="S587" s="8"/>
      <c r="T587" s="8"/>
      <c r="U587" s="8"/>
      <c r="V587" s="8"/>
      <c r="W587" s="3"/>
      <c r="X587" s="3"/>
      <c r="Y587" s="3"/>
    </row>
    <row r="588" spans="1:42" ht="56.15" customHeight="1" x14ac:dyDescent="0.6">
      <c r="A588" s="223" t="s">
        <v>10</v>
      </c>
      <c r="B588" s="224"/>
      <c r="C588" s="229" t="s">
        <v>11</v>
      </c>
      <c r="D588" s="242" t="s">
        <v>310</v>
      </c>
      <c r="E588" s="223" t="s">
        <v>313</v>
      </c>
      <c r="F588" s="224"/>
      <c r="G588" s="225"/>
      <c r="H588" s="239" t="s">
        <v>315</v>
      </c>
      <c r="I588" s="240" t="s">
        <v>14</v>
      </c>
      <c r="J588" s="240" t="s">
        <v>15</v>
      </c>
      <c r="K588" s="234"/>
      <c r="L588" s="237"/>
      <c r="O588" s="8"/>
      <c r="P588" s="8"/>
      <c r="Q588" s="8"/>
      <c r="R588" s="8"/>
      <c r="S588" s="8"/>
      <c r="T588" s="8"/>
      <c r="U588" s="8"/>
      <c r="V588" s="8"/>
      <c r="W588" s="3"/>
      <c r="X588" s="3"/>
      <c r="Y588" s="3"/>
    </row>
    <row r="589" spans="1:42" ht="97.5" customHeight="1" x14ac:dyDescent="0.6">
      <c r="A589" s="16" t="s">
        <v>16</v>
      </c>
      <c r="B589" s="16" t="s">
        <v>17</v>
      </c>
      <c r="C589" s="230"/>
      <c r="D589" s="243"/>
      <c r="E589" s="16" t="s">
        <v>311</v>
      </c>
      <c r="F589" s="16" t="s">
        <v>312</v>
      </c>
      <c r="G589" s="16" t="s">
        <v>314</v>
      </c>
      <c r="H589" s="239"/>
      <c r="I589" s="241"/>
      <c r="J589" s="241"/>
      <c r="K589" s="235"/>
      <c r="L589" s="238"/>
      <c r="O589" s="8"/>
      <c r="P589" s="8"/>
      <c r="Q589" s="8"/>
      <c r="R589" s="8"/>
      <c r="S589" s="8"/>
      <c r="T589" s="8"/>
      <c r="U589" s="8"/>
      <c r="V589" s="8"/>
      <c r="W589" s="3"/>
      <c r="X589" s="3"/>
      <c r="Y589" s="3"/>
      <c r="AP589" s="1" t="s">
        <v>18</v>
      </c>
    </row>
    <row r="590" spans="1:42" ht="55.9" customHeight="1" x14ac:dyDescent="0.6">
      <c r="A590" s="29">
        <v>12</v>
      </c>
      <c r="B590" s="24" t="s">
        <v>100</v>
      </c>
      <c r="C590" s="103">
        <v>60000</v>
      </c>
      <c r="D590" s="104">
        <v>60000</v>
      </c>
      <c r="E590" s="104">
        <v>0</v>
      </c>
      <c r="F590" s="104">
        <v>60000</v>
      </c>
      <c r="G590" s="104">
        <f>E590+F590</f>
        <v>60000</v>
      </c>
      <c r="H590" s="18">
        <f>IFERROR(D590/C590*100-100,0)</f>
        <v>0</v>
      </c>
      <c r="I590" s="9">
        <v>0</v>
      </c>
      <c r="J590" s="10">
        <f>IFERROR(I590/#REF!*100,)</f>
        <v>0</v>
      </c>
      <c r="K590" s="28" t="s">
        <v>19</v>
      </c>
      <c r="L590" s="94" t="s">
        <v>19</v>
      </c>
      <c r="O590" s="8"/>
      <c r="P590" s="2"/>
      <c r="Q590" s="3"/>
      <c r="R590" s="3"/>
      <c r="S590" s="3"/>
      <c r="T590" s="3"/>
      <c r="U590" s="3"/>
      <c r="V590" s="3"/>
      <c r="W590" s="3"/>
      <c r="X590" s="3"/>
      <c r="Y590" s="3"/>
      <c r="AP590" s="1" t="s">
        <v>20</v>
      </c>
    </row>
    <row r="591" spans="1:42" s="12" customFormat="1" ht="56.15" customHeight="1" x14ac:dyDescent="0.35">
      <c r="A591" s="228" t="s">
        <v>25</v>
      </c>
      <c r="B591" s="228"/>
      <c r="C591" s="91">
        <f>SUM(C590:C590)</f>
        <v>60000</v>
      </c>
      <c r="D591" s="91">
        <f>SUM(D590:D590)</f>
        <v>60000</v>
      </c>
      <c r="E591" s="91">
        <f>SUM(E590)</f>
        <v>0</v>
      </c>
      <c r="F591" s="91">
        <f>SUM(F590)</f>
        <v>60000</v>
      </c>
      <c r="G591" s="91">
        <f>SUM(G590)</f>
        <v>60000</v>
      </c>
      <c r="H591" s="19">
        <f>IFERROR(D591/C591*100-100,0)</f>
        <v>0</v>
      </c>
      <c r="I591" s="19">
        <f>SUM(I590:I590)</f>
        <v>0</v>
      </c>
      <c r="J591" s="19">
        <f>IFERROR(I591/#REF!*100,)</f>
        <v>0</v>
      </c>
      <c r="K591" s="36"/>
      <c r="L591" s="96">
        <f>SUM(L590:L590)</f>
        <v>0</v>
      </c>
      <c r="M591" s="55"/>
    </row>
    <row r="592" spans="1:42" ht="55.9" customHeight="1" x14ac:dyDescent="0.6">
      <c r="A592" s="244"/>
      <c r="B592" s="244"/>
      <c r="C592" s="244"/>
      <c r="D592" s="244"/>
      <c r="E592" s="244"/>
      <c r="F592" s="244"/>
      <c r="G592" s="244"/>
      <c r="H592" s="244"/>
      <c r="I592" s="245"/>
      <c r="J592" s="245"/>
    </row>
    <row r="593" spans="1:42" ht="97.5" customHeight="1" x14ac:dyDescent="0.6">
      <c r="A593" s="220" t="s">
        <v>1</v>
      </c>
      <c r="B593" s="221"/>
      <c r="C593" s="222" t="s">
        <v>108</v>
      </c>
      <c r="D593" s="222"/>
      <c r="E593" s="222"/>
      <c r="F593" s="222"/>
      <c r="G593" s="222"/>
      <c r="H593" s="222"/>
      <c r="I593" s="159"/>
      <c r="J593" s="159"/>
      <c r="P593" s="2"/>
      <c r="Q593" s="3"/>
      <c r="R593" s="3"/>
      <c r="S593" s="3"/>
      <c r="T593" s="3"/>
      <c r="U593" s="3"/>
      <c r="V593" s="3"/>
      <c r="W593" s="3"/>
      <c r="X593" s="3"/>
      <c r="Y593" s="3"/>
    </row>
    <row r="594" spans="1:42" ht="97.5" customHeight="1" x14ac:dyDescent="0.6">
      <c r="A594" s="221" t="s">
        <v>3</v>
      </c>
      <c r="B594" s="221"/>
      <c r="C594" s="222" t="s">
        <v>71</v>
      </c>
      <c r="D594" s="222"/>
      <c r="E594" s="222"/>
      <c r="F594" s="222"/>
      <c r="G594" s="222"/>
      <c r="H594" s="222"/>
      <c r="I594" s="160"/>
      <c r="J594" s="160"/>
      <c r="X594" s="3"/>
      <c r="Y594" s="3"/>
    </row>
    <row r="595" spans="1:42" s="6" customFormat="1" ht="49.5" customHeight="1" x14ac:dyDescent="0.6">
      <c r="A595" s="20"/>
      <c r="B595" s="4"/>
      <c r="C595" s="106"/>
      <c r="D595" s="106"/>
      <c r="E595" s="106"/>
      <c r="F595" s="106"/>
      <c r="G595" s="106"/>
      <c r="H595" s="5"/>
      <c r="I595" s="155"/>
      <c r="J595" s="155"/>
      <c r="K595" s="27"/>
      <c r="L595" s="95"/>
      <c r="P595" s="7"/>
      <c r="Q595" s="8"/>
      <c r="R595" s="8"/>
      <c r="S595" s="8"/>
      <c r="T595" s="8"/>
      <c r="U595" s="8"/>
      <c r="V595" s="8"/>
      <c r="W595" s="8"/>
      <c r="X595" s="8"/>
      <c r="Y595" s="8"/>
    </row>
    <row r="596" spans="1:42" ht="97.5" customHeight="1" x14ac:dyDescent="0.6">
      <c r="A596" s="223" t="s">
        <v>5</v>
      </c>
      <c r="B596" s="224"/>
      <c r="C596" s="223" t="s">
        <v>6</v>
      </c>
      <c r="D596" s="224"/>
      <c r="E596" s="224"/>
      <c r="F596" s="224"/>
      <c r="G596" s="224"/>
      <c r="H596" s="225"/>
      <c r="I596" s="226" t="s">
        <v>7</v>
      </c>
      <c r="J596" s="227"/>
      <c r="K596" s="233" t="s">
        <v>309</v>
      </c>
      <c r="L596" s="236" t="s">
        <v>9</v>
      </c>
      <c r="O596" s="8"/>
      <c r="P596" s="8"/>
      <c r="Q596" s="8"/>
      <c r="R596" s="8"/>
      <c r="S596" s="8"/>
      <c r="T596" s="8"/>
      <c r="U596" s="8"/>
      <c r="V596" s="8"/>
      <c r="W596" s="3"/>
      <c r="X596" s="3"/>
      <c r="Y596" s="3"/>
    </row>
    <row r="597" spans="1:42" ht="56.15" customHeight="1" x14ac:dyDescent="0.6">
      <c r="A597" s="223" t="s">
        <v>10</v>
      </c>
      <c r="B597" s="224"/>
      <c r="C597" s="229" t="s">
        <v>11</v>
      </c>
      <c r="D597" s="242" t="s">
        <v>310</v>
      </c>
      <c r="E597" s="223" t="s">
        <v>313</v>
      </c>
      <c r="F597" s="224"/>
      <c r="G597" s="225"/>
      <c r="H597" s="239" t="s">
        <v>315</v>
      </c>
      <c r="I597" s="240" t="s">
        <v>14</v>
      </c>
      <c r="J597" s="240" t="s">
        <v>15</v>
      </c>
      <c r="K597" s="234"/>
      <c r="L597" s="237"/>
      <c r="O597" s="8"/>
      <c r="P597" s="8"/>
      <c r="Q597" s="8"/>
      <c r="R597" s="8"/>
      <c r="S597" s="8"/>
      <c r="T597" s="8"/>
      <c r="U597" s="8"/>
      <c r="V597" s="8"/>
      <c r="W597" s="3"/>
      <c r="X597" s="3"/>
      <c r="Y597" s="3"/>
    </row>
    <row r="598" spans="1:42" ht="97.5" customHeight="1" x14ac:dyDescent="0.6">
      <c r="A598" s="16" t="s">
        <v>16</v>
      </c>
      <c r="B598" s="16" t="s">
        <v>17</v>
      </c>
      <c r="C598" s="230"/>
      <c r="D598" s="243"/>
      <c r="E598" s="16" t="s">
        <v>311</v>
      </c>
      <c r="F598" s="16" t="s">
        <v>312</v>
      </c>
      <c r="G598" s="16" t="s">
        <v>314</v>
      </c>
      <c r="H598" s="239"/>
      <c r="I598" s="241"/>
      <c r="J598" s="241"/>
      <c r="K598" s="235"/>
      <c r="L598" s="238"/>
      <c r="O598" s="8"/>
      <c r="P598" s="8"/>
      <c r="Q598" s="8"/>
      <c r="R598" s="8"/>
      <c r="S598" s="8"/>
      <c r="T598" s="8"/>
      <c r="U598" s="8"/>
      <c r="V598" s="8"/>
      <c r="W598" s="3"/>
      <c r="X598" s="3"/>
      <c r="Y598" s="3"/>
      <c r="AP598" s="1" t="s">
        <v>18</v>
      </c>
    </row>
    <row r="599" spans="1:42" ht="78" x14ac:dyDescent="0.6">
      <c r="A599" s="46">
        <v>1</v>
      </c>
      <c r="B599" s="25" t="s">
        <v>109</v>
      </c>
      <c r="C599" s="107">
        <v>82124.02</v>
      </c>
      <c r="D599" s="103">
        <v>82533.23</v>
      </c>
      <c r="E599" s="103">
        <v>27356.880000000001</v>
      </c>
      <c r="F599" s="111">
        <v>63088.12</v>
      </c>
      <c r="G599" s="111">
        <f>E599+F599</f>
        <v>90445</v>
      </c>
      <c r="H599" s="60">
        <f t="shared" ref="H599:H603" si="68">IFERROR(D599/C599*100-100,0)</f>
        <v>0.49828296276777451</v>
      </c>
      <c r="I599" s="9">
        <v>0</v>
      </c>
      <c r="J599" s="10">
        <f>IFERROR(I599/#REF!*100,)</f>
        <v>0</v>
      </c>
      <c r="K599" s="28" t="s">
        <v>19</v>
      </c>
      <c r="L599" s="94" t="s">
        <v>19</v>
      </c>
      <c r="M599" s="48"/>
      <c r="O599" s="8"/>
      <c r="P599" s="2"/>
      <c r="Q599" s="3"/>
      <c r="R599" s="3"/>
      <c r="S599" s="3"/>
      <c r="T599" s="3"/>
      <c r="U599" s="3"/>
      <c r="V599" s="3"/>
      <c r="W599" s="3"/>
      <c r="X599" s="3"/>
      <c r="Y599" s="3"/>
      <c r="AP599" s="1" t="s">
        <v>20</v>
      </c>
    </row>
    <row r="600" spans="1:42" ht="104" x14ac:dyDescent="0.6">
      <c r="A600" s="46">
        <v>1</v>
      </c>
      <c r="B600" s="25" t="s">
        <v>415</v>
      </c>
      <c r="C600" s="107">
        <v>0</v>
      </c>
      <c r="D600" s="103">
        <v>0</v>
      </c>
      <c r="E600" s="103">
        <v>334</v>
      </c>
      <c r="F600" s="111">
        <f>83.5*8</f>
        <v>668</v>
      </c>
      <c r="G600" s="111">
        <f t="shared" ref="G600:G602" si="69">E600+F600</f>
        <v>1002</v>
      </c>
      <c r="H600" s="60">
        <f t="shared" si="68"/>
        <v>0</v>
      </c>
      <c r="I600" s="9">
        <v>0</v>
      </c>
      <c r="J600" s="10">
        <f>IFERROR(I600/#REF!*100,)</f>
        <v>0</v>
      </c>
      <c r="K600" s="28" t="s">
        <v>19</v>
      </c>
      <c r="L600" s="94" t="s">
        <v>19</v>
      </c>
      <c r="M600" s="127" t="s">
        <v>168</v>
      </c>
      <c r="O600" s="8"/>
      <c r="P600" s="2"/>
      <c r="Q600" s="3"/>
      <c r="R600" s="3"/>
      <c r="S600" s="3"/>
      <c r="T600" s="3"/>
      <c r="U600" s="3"/>
      <c r="V600" s="3"/>
      <c r="W600" s="3"/>
      <c r="X600" s="3"/>
      <c r="Y600" s="3"/>
    </row>
    <row r="601" spans="1:42" ht="78" x14ac:dyDescent="0.6">
      <c r="A601" s="46">
        <v>1</v>
      </c>
      <c r="B601" s="25" t="s">
        <v>102</v>
      </c>
      <c r="C601" s="107">
        <v>2500</v>
      </c>
      <c r="D601" s="104">
        <v>2000</v>
      </c>
      <c r="E601" s="104">
        <v>0</v>
      </c>
      <c r="F601" s="146">
        <f>D601-E601</f>
        <v>2000</v>
      </c>
      <c r="G601" s="111">
        <f t="shared" si="69"/>
        <v>2000</v>
      </c>
      <c r="H601" s="60">
        <f t="shared" si="68"/>
        <v>-20</v>
      </c>
      <c r="I601" s="9">
        <v>0</v>
      </c>
      <c r="J601" s="10">
        <f>IFERROR(I601/#REF!*100,)</f>
        <v>0</v>
      </c>
      <c r="K601" s="28" t="s">
        <v>19</v>
      </c>
      <c r="L601" s="94" t="s">
        <v>19</v>
      </c>
      <c r="P601" s="11"/>
    </row>
    <row r="602" spans="1:42" ht="130" x14ac:dyDescent="0.6">
      <c r="A602" s="46">
        <v>1</v>
      </c>
      <c r="B602" s="25" t="s">
        <v>110</v>
      </c>
      <c r="C602" s="103">
        <v>77612.7</v>
      </c>
      <c r="D602" s="104">
        <v>82000</v>
      </c>
      <c r="E602" s="104">
        <v>24756.45</v>
      </c>
      <c r="F602" s="146">
        <f>(3179.29*8)+(300*8)+(286.25*8)+(1200.72*8)+(340*8)+(780*8)+(114.9*8)+(100*8)</f>
        <v>50409.279999999999</v>
      </c>
      <c r="G602" s="111">
        <f t="shared" si="69"/>
        <v>75165.73</v>
      </c>
      <c r="H602" s="60">
        <f t="shared" si="68"/>
        <v>5.652811975359711</v>
      </c>
      <c r="I602" s="9">
        <v>0</v>
      </c>
      <c r="J602" s="10">
        <f>IFERROR(I602/#REF!*100,)</f>
        <v>0</v>
      </c>
      <c r="K602" s="28" t="s">
        <v>19</v>
      </c>
      <c r="L602" s="94" t="s">
        <v>19</v>
      </c>
      <c r="M602" s="1" t="s">
        <v>169</v>
      </c>
    </row>
    <row r="603" spans="1:42" s="12" customFormat="1" ht="56.15" customHeight="1" x14ac:dyDescent="0.35">
      <c r="A603" s="228" t="s">
        <v>25</v>
      </c>
      <c r="B603" s="228"/>
      <c r="C603" s="91">
        <f>SUM(C599:C602)</f>
        <v>162236.72</v>
      </c>
      <c r="D603" s="91">
        <f>SUM(D599:D602)</f>
        <v>166533.22999999998</v>
      </c>
      <c r="E603" s="91">
        <f>SUM(E599:E602)</f>
        <v>52447.33</v>
      </c>
      <c r="F603" s="91">
        <f>SUM(F599:F602)</f>
        <v>116165.4</v>
      </c>
      <c r="G603" s="91">
        <f>SUM(G599:G602)</f>
        <v>168612.72999999998</v>
      </c>
      <c r="H603" s="19">
        <f t="shared" si="68"/>
        <v>2.6482968837141101</v>
      </c>
      <c r="I603" s="19">
        <f>SUM(I599:I602)</f>
        <v>0</v>
      </c>
      <c r="J603" s="19">
        <f>IFERROR(I603/#REF!*100,)</f>
        <v>0</v>
      </c>
      <c r="K603" s="36">
        <v>0</v>
      </c>
      <c r="L603" s="96">
        <f>SUM(L599:L602)</f>
        <v>0</v>
      </c>
    </row>
    <row r="604" spans="1:42" ht="55.9" customHeight="1" x14ac:dyDescent="0.6">
      <c r="A604" s="244"/>
      <c r="B604" s="244"/>
      <c r="C604" s="244"/>
      <c r="D604" s="244"/>
      <c r="E604" s="244"/>
      <c r="F604" s="244"/>
      <c r="G604" s="244"/>
      <c r="H604" s="244"/>
      <c r="I604" s="245"/>
      <c r="J604" s="245"/>
    </row>
    <row r="605" spans="1:42" ht="97.5" customHeight="1" x14ac:dyDescent="0.6">
      <c r="A605" s="220" t="s">
        <v>1</v>
      </c>
      <c r="B605" s="221"/>
      <c r="C605" s="222" t="s">
        <v>111</v>
      </c>
      <c r="D605" s="222"/>
      <c r="E605" s="222"/>
      <c r="F605" s="222"/>
      <c r="G605" s="222"/>
      <c r="H605" s="222"/>
      <c r="I605" s="159"/>
      <c r="J605" s="159"/>
      <c r="P605" s="2"/>
      <c r="Q605" s="3"/>
      <c r="R605" s="3"/>
      <c r="S605" s="3"/>
      <c r="T605" s="3"/>
      <c r="U605" s="3"/>
      <c r="V605" s="3"/>
      <c r="W605" s="3"/>
      <c r="X605" s="3"/>
      <c r="Y605" s="3"/>
    </row>
    <row r="606" spans="1:42" ht="97.5" customHeight="1" x14ac:dyDescent="0.6">
      <c r="A606" s="221" t="s">
        <v>3</v>
      </c>
      <c r="B606" s="221"/>
      <c r="C606" s="222" t="s">
        <v>71</v>
      </c>
      <c r="D606" s="222"/>
      <c r="E606" s="222"/>
      <c r="F606" s="222"/>
      <c r="G606" s="222"/>
      <c r="H606" s="222"/>
      <c r="I606" s="160"/>
      <c r="J606" s="160"/>
      <c r="X606" s="3"/>
      <c r="Y606" s="3"/>
    </row>
    <row r="607" spans="1:42" s="6" customFormat="1" ht="49.5" customHeight="1" x14ac:dyDescent="0.6">
      <c r="A607" s="20"/>
      <c r="B607" s="4"/>
      <c r="C607" s="106"/>
      <c r="D607" s="106"/>
      <c r="E607" s="106"/>
      <c r="F607" s="106"/>
      <c r="G607" s="106"/>
      <c r="H607" s="5"/>
      <c r="I607" s="155"/>
      <c r="J607" s="155"/>
      <c r="K607" s="27"/>
      <c r="L607" s="95"/>
      <c r="P607" s="7"/>
      <c r="Q607" s="8"/>
      <c r="R607" s="8"/>
      <c r="S607" s="8"/>
      <c r="T607" s="8"/>
      <c r="U607" s="8"/>
      <c r="V607" s="8"/>
      <c r="W607" s="8"/>
      <c r="X607" s="8"/>
      <c r="Y607" s="8"/>
    </row>
    <row r="608" spans="1:42" ht="97.5" customHeight="1" x14ac:dyDescent="0.6">
      <c r="A608" s="223" t="s">
        <v>5</v>
      </c>
      <c r="B608" s="224"/>
      <c r="C608" s="223" t="s">
        <v>6</v>
      </c>
      <c r="D608" s="224"/>
      <c r="E608" s="224"/>
      <c r="F608" s="224"/>
      <c r="G608" s="224"/>
      <c r="H608" s="225"/>
      <c r="I608" s="226" t="s">
        <v>7</v>
      </c>
      <c r="J608" s="227"/>
      <c r="K608" s="233" t="s">
        <v>309</v>
      </c>
      <c r="L608" s="236" t="s">
        <v>9</v>
      </c>
      <c r="O608" s="8"/>
      <c r="P608" s="8"/>
      <c r="Q608" s="8"/>
      <c r="R608" s="8"/>
      <c r="S608" s="8"/>
      <c r="T608" s="8"/>
      <c r="U608" s="8"/>
      <c r="V608" s="8"/>
      <c r="W608" s="3"/>
      <c r="X608" s="3"/>
      <c r="Y608" s="3"/>
    </row>
    <row r="609" spans="1:42" ht="56.15" customHeight="1" x14ac:dyDescent="0.6">
      <c r="A609" s="223" t="s">
        <v>10</v>
      </c>
      <c r="B609" s="224"/>
      <c r="C609" s="229" t="s">
        <v>11</v>
      </c>
      <c r="D609" s="242" t="s">
        <v>310</v>
      </c>
      <c r="E609" s="223" t="s">
        <v>313</v>
      </c>
      <c r="F609" s="224"/>
      <c r="G609" s="225"/>
      <c r="H609" s="239" t="s">
        <v>315</v>
      </c>
      <c r="I609" s="240" t="s">
        <v>14</v>
      </c>
      <c r="J609" s="240" t="s">
        <v>15</v>
      </c>
      <c r="K609" s="234"/>
      <c r="L609" s="237"/>
      <c r="O609" s="8"/>
      <c r="P609" s="8"/>
      <c r="Q609" s="8"/>
      <c r="R609" s="8"/>
      <c r="S609" s="8"/>
      <c r="T609" s="8"/>
      <c r="U609" s="8"/>
      <c r="V609" s="8"/>
      <c r="W609" s="3"/>
      <c r="X609" s="3"/>
      <c r="Y609" s="3"/>
    </row>
    <row r="610" spans="1:42" ht="97.5" customHeight="1" x14ac:dyDescent="0.6">
      <c r="A610" s="16" t="s">
        <v>16</v>
      </c>
      <c r="B610" s="16" t="s">
        <v>17</v>
      </c>
      <c r="C610" s="230"/>
      <c r="D610" s="243"/>
      <c r="E610" s="16" t="s">
        <v>311</v>
      </c>
      <c r="F610" s="16" t="s">
        <v>312</v>
      </c>
      <c r="G610" s="16" t="s">
        <v>314</v>
      </c>
      <c r="H610" s="239"/>
      <c r="I610" s="241"/>
      <c r="J610" s="241"/>
      <c r="K610" s="235"/>
      <c r="L610" s="238"/>
      <c r="O610" s="8"/>
      <c r="P610" s="8"/>
      <c r="Q610" s="8"/>
      <c r="R610" s="8"/>
      <c r="S610" s="8"/>
      <c r="T610" s="8"/>
      <c r="U610" s="8"/>
      <c r="V610" s="8"/>
      <c r="W610" s="3"/>
      <c r="X610" s="3"/>
      <c r="Y610" s="3"/>
      <c r="AP610" s="1" t="s">
        <v>18</v>
      </c>
    </row>
    <row r="611" spans="1:42" ht="78" x14ac:dyDescent="0.6">
      <c r="A611" s="46">
        <v>1</v>
      </c>
      <c r="B611" s="25" t="s">
        <v>109</v>
      </c>
      <c r="C611" s="107">
        <v>90336.049999999988</v>
      </c>
      <c r="D611" s="103">
        <v>89363.76</v>
      </c>
      <c r="E611" s="103">
        <v>30976.31</v>
      </c>
      <c r="F611" s="111">
        <v>68680.22</v>
      </c>
      <c r="G611" s="111">
        <f>E611+F611</f>
        <v>99656.53</v>
      </c>
      <c r="H611" s="18">
        <f t="shared" ref="H611:H615" si="70">IFERROR(D611/C611*100-100,0)</f>
        <v>-1.0763034248231946</v>
      </c>
      <c r="I611" s="9">
        <v>0</v>
      </c>
      <c r="J611" s="10">
        <f>IFERROR(I611/#REF!*100,)</f>
        <v>0</v>
      </c>
      <c r="K611" s="28" t="s">
        <v>19</v>
      </c>
      <c r="L611" s="94" t="s">
        <v>19</v>
      </c>
      <c r="M611" s="48"/>
      <c r="O611" s="8"/>
      <c r="P611" s="2"/>
      <c r="Q611" s="3"/>
      <c r="R611" s="3"/>
      <c r="S611" s="3"/>
      <c r="T611" s="3"/>
      <c r="U611" s="3"/>
      <c r="V611" s="3"/>
      <c r="W611" s="3"/>
      <c r="X611" s="3"/>
      <c r="Y611" s="3"/>
      <c r="AP611" s="1" t="s">
        <v>20</v>
      </c>
    </row>
    <row r="612" spans="1:42" ht="104" x14ac:dyDescent="0.6">
      <c r="A612" s="46">
        <v>1</v>
      </c>
      <c r="B612" s="25" t="s">
        <v>415</v>
      </c>
      <c r="C612" s="107">
        <v>0</v>
      </c>
      <c r="D612" s="103">
        <v>0</v>
      </c>
      <c r="E612" s="103">
        <v>334</v>
      </c>
      <c r="F612" s="111">
        <f>(83.5*8)</f>
        <v>668</v>
      </c>
      <c r="G612" s="111">
        <f t="shared" ref="G612:G614" si="71">E612+F612</f>
        <v>1002</v>
      </c>
      <c r="H612" s="18">
        <f t="shared" si="70"/>
        <v>0</v>
      </c>
      <c r="I612" s="9">
        <v>0</v>
      </c>
      <c r="J612" s="10"/>
      <c r="K612" s="28" t="s">
        <v>19</v>
      </c>
      <c r="L612" s="94" t="s">
        <v>19</v>
      </c>
      <c r="M612" s="48"/>
      <c r="O612" s="8"/>
      <c r="P612" s="2"/>
      <c r="Q612" s="3"/>
      <c r="R612" s="3"/>
      <c r="S612" s="3"/>
      <c r="T612" s="3"/>
      <c r="U612" s="3"/>
      <c r="V612" s="3"/>
      <c r="W612" s="3"/>
      <c r="X612" s="3"/>
      <c r="Y612" s="3"/>
    </row>
    <row r="613" spans="1:42" ht="78" x14ac:dyDescent="0.6">
      <c r="A613" s="46">
        <v>1</v>
      </c>
      <c r="B613" s="25" t="s">
        <v>102</v>
      </c>
      <c r="C613" s="107">
        <v>2500</v>
      </c>
      <c r="D613" s="104">
        <v>2000</v>
      </c>
      <c r="E613" s="104">
        <v>0</v>
      </c>
      <c r="F613" s="146">
        <f>D613</f>
        <v>2000</v>
      </c>
      <c r="G613" s="111">
        <f t="shared" si="71"/>
        <v>2000</v>
      </c>
      <c r="H613" s="18">
        <f t="shared" si="70"/>
        <v>-20</v>
      </c>
      <c r="I613" s="9">
        <v>0</v>
      </c>
      <c r="J613" s="10">
        <f>IFERROR(I613/#REF!*100,)</f>
        <v>0</v>
      </c>
      <c r="K613" s="28" t="s">
        <v>19</v>
      </c>
      <c r="L613" s="94" t="s">
        <v>19</v>
      </c>
      <c r="M613" s="48"/>
      <c r="P613" s="11"/>
    </row>
    <row r="614" spans="1:42" ht="130" x14ac:dyDescent="0.6">
      <c r="A614" s="46">
        <v>1</v>
      </c>
      <c r="B614" s="25" t="s">
        <v>110</v>
      </c>
      <c r="C614" s="103">
        <v>82477.350000000006</v>
      </c>
      <c r="D614" s="104">
        <v>124000</v>
      </c>
      <c r="E614" s="104">
        <v>27401.98</v>
      </c>
      <c r="F614" s="146">
        <f>(606.64*8)+(170*8)+(3792.8*8)+(286.25*8)+(1212.15*8)+(480*8)+(500*8)</f>
        <v>56382.720000000001</v>
      </c>
      <c r="G614" s="111">
        <f t="shared" si="71"/>
        <v>83784.7</v>
      </c>
      <c r="H614" s="18">
        <f t="shared" si="70"/>
        <v>50.344306649037577</v>
      </c>
      <c r="I614" s="9">
        <v>0</v>
      </c>
      <c r="J614" s="10">
        <f>IFERROR(I614/#REF!*100,)</f>
        <v>0</v>
      </c>
      <c r="K614" s="28" t="s">
        <v>19</v>
      </c>
      <c r="L614" s="94" t="s">
        <v>19</v>
      </c>
      <c r="M614" s="1" t="s">
        <v>170</v>
      </c>
    </row>
    <row r="615" spans="1:42" s="12" customFormat="1" ht="56.15" customHeight="1" x14ac:dyDescent="0.35">
      <c r="A615" s="228" t="s">
        <v>25</v>
      </c>
      <c r="B615" s="228"/>
      <c r="C615" s="91">
        <f>SUM(C611:C614)</f>
        <v>175313.4</v>
      </c>
      <c r="D615" s="91">
        <f>SUM(D611:D614)</f>
        <v>215363.76</v>
      </c>
      <c r="E615" s="91">
        <f>SUM(E611:E614)</f>
        <v>58712.29</v>
      </c>
      <c r="F615" s="91">
        <f>SUM(F611:F614)</f>
        <v>127730.94</v>
      </c>
      <c r="G615" s="91">
        <f>SUM(G611:G614)</f>
        <v>186443.22999999998</v>
      </c>
      <c r="H615" s="19">
        <f t="shared" si="70"/>
        <v>22.845007854505141</v>
      </c>
      <c r="I615" s="19">
        <f>SUM(I611:I614)</f>
        <v>0</v>
      </c>
      <c r="J615" s="19">
        <f>IFERROR(I615/#REF!*100,)</f>
        <v>0</v>
      </c>
      <c r="K615" s="36"/>
      <c r="L615" s="96">
        <f>SUM(L611:L614)</f>
        <v>0</v>
      </c>
    </row>
    <row r="616" spans="1:42" ht="55.9" customHeight="1" x14ac:dyDescent="0.6">
      <c r="A616" s="244"/>
      <c r="B616" s="244"/>
      <c r="C616" s="244"/>
      <c r="D616" s="244"/>
      <c r="E616" s="244"/>
      <c r="F616" s="244"/>
      <c r="G616" s="244"/>
      <c r="H616" s="244"/>
      <c r="I616" s="245"/>
      <c r="J616" s="245"/>
    </row>
    <row r="617" spans="1:42" ht="97.5" customHeight="1" x14ac:dyDescent="0.6">
      <c r="A617" s="220" t="s">
        <v>1</v>
      </c>
      <c r="B617" s="221"/>
      <c r="C617" s="222" t="s">
        <v>112</v>
      </c>
      <c r="D617" s="222"/>
      <c r="E617" s="222"/>
      <c r="F617" s="222"/>
      <c r="G617" s="222"/>
      <c r="H617" s="222"/>
      <c r="I617" s="159"/>
      <c r="J617" s="159"/>
      <c r="P617" s="2"/>
      <c r="Q617" s="3"/>
      <c r="R617" s="3"/>
      <c r="S617" s="3"/>
      <c r="T617" s="3"/>
      <c r="U617" s="3"/>
      <c r="V617" s="3"/>
      <c r="W617" s="3"/>
      <c r="X617" s="3"/>
      <c r="Y617" s="3"/>
    </row>
    <row r="618" spans="1:42" ht="97.5" customHeight="1" x14ac:dyDescent="0.6">
      <c r="A618" s="221" t="s">
        <v>3</v>
      </c>
      <c r="B618" s="221"/>
      <c r="C618" s="222" t="s">
        <v>71</v>
      </c>
      <c r="D618" s="222"/>
      <c r="E618" s="222"/>
      <c r="F618" s="222"/>
      <c r="G618" s="222"/>
      <c r="H618" s="222"/>
      <c r="I618" s="160"/>
      <c r="J618" s="160"/>
      <c r="X618" s="3"/>
      <c r="Y618" s="3"/>
    </row>
    <row r="619" spans="1:42" s="6" customFormat="1" ht="49.5" customHeight="1" x14ac:dyDescent="0.6">
      <c r="A619" s="20"/>
      <c r="B619" s="4"/>
      <c r="C619" s="106"/>
      <c r="D619" s="106"/>
      <c r="E619" s="106"/>
      <c r="F619" s="106"/>
      <c r="G619" s="106"/>
      <c r="H619" s="5"/>
      <c r="I619" s="155"/>
      <c r="J619" s="155"/>
      <c r="K619" s="27"/>
      <c r="L619" s="95"/>
      <c r="P619" s="7"/>
      <c r="Q619" s="8"/>
      <c r="R619" s="8"/>
      <c r="S619" s="8"/>
      <c r="T619" s="8"/>
      <c r="U619" s="8"/>
      <c r="V619" s="8"/>
      <c r="W619" s="8"/>
      <c r="X619" s="8"/>
      <c r="Y619" s="8"/>
    </row>
    <row r="620" spans="1:42" ht="97.5" customHeight="1" x14ac:dyDescent="0.6">
      <c r="A620" s="223" t="s">
        <v>5</v>
      </c>
      <c r="B620" s="224"/>
      <c r="C620" s="223" t="s">
        <v>6</v>
      </c>
      <c r="D620" s="224"/>
      <c r="E620" s="224"/>
      <c r="F620" s="224"/>
      <c r="G620" s="224"/>
      <c r="H620" s="225"/>
      <c r="I620" s="226" t="s">
        <v>7</v>
      </c>
      <c r="J620" s="227"/>
      <c r="K620" s="233" t="s">
        <v>309</v>
      </c>
      <c r="L620" s="236" t="s">
        <v>9</v>
      </c>
      <c r="O620" s="8"/>
      <c r="P620" s="8"/>
      <c r="Q620" s="8"/>
      <c r="R620" s="8"/>
      <c r="S620" s="8"/>
      <c r="T620" s="8"/>
      <c r="U620" s="8"/>
      <c r="V620" s="8"/>
      <c r="W620" s="3"/>
      <c r="X620" s="3"/>
      <c r="Y620" s="3"/>
    </row>
    <row r="621" spans="1:42" ht="56.15" customHeight="1" x14ac:dyDescent="0.6">
      <c r="A621" s="223" t="s">
        <v>10</v>
      </c>
      <c r="B621" s="224"/>
      <c r="C621" s="229" t="s">
        <v>11</v>
      </c>
      <c r="D621" s="242" t="s">
        <v>310</v>
      </c>
      <c r="E621" s="223" t="s">
        <v>313</v>
      </c>
      <c r="F621" s="224"/>
      <c r="G621" s="225"/>
      <c r="H621" s="239" t="s">
        <v>315</v>
      </c>
      <c r="I621" s="240" t="s">
        <v>14</v>
      </c>
      <c r="J621" s="240" t="s">
        <v>15</v>
      </c>
      <c r="K621" s="234"/>
      <c r="L621" s="237"/>
      <c r="O621" s="8"/>
      <c r="P621" s="8"/>
      <c r="Q621" s="8"/>
      <c r="R621" s="8"/>
      <c r="S621" s="8"/>
      <c r="T621" s="8"/>
      <c r="U621" s="8"/>
      <c r="V621" s="8"/>
      <c r="W621" s="3"/>
      <c r="X621" s="3"/>
      <c r="Y621" s="3"/>
    </row>
    <row r="622" spans="1:42" ht="97.5" customHeight="1" x14ac:dyDescent="0.6">
      <c r="A622" s="16" t="s">
        <v>16</v>
      </c>
      <c r="B622" s="16" t="s">
        <v>17</v>
      </c>
      <c r="C622" s="230"/>
      <c r="D622" s="243"/>
      <c r="E622" s="16" t="s">
        <v>311</v>
      </c>
      <c r="F622" s="16" t="s">
        <v>312</v>
      </c>
      <c r="G622" s="16" t="s">
        <v>314</v>
      </c>
      <c r="H622" s="239"/>
      <c r="I622" s="241"/>
      <c r="J622" s="241"/>
      <c r="K622" s="235"/>
      <c r="L622" s="238"/>
      <c r="O622" s="8"/>
      <c r="P622" s="8"/>
      <c r="Q622" s="8"/>
      <c r="R622" s="8"/>
      <c r="S622" s="8"/>
      <c r="T622" s="8"/>
      <c r="U622" s="8"/>
      <c r="V622" s="8"/>
      <c r="W622" s="3"/>
      <c r="X622" s="3"/>
      <c r="Y622" s="3"/>
      <c r="AP622" s="1" t="s">
        <v>18</v>
      </c>
    </row>
    <row r="623" spans="1:42" ht="78" x14ac:dyDescent="0.6">
      <c r="A623" s="46">
        <v>1</v>
      </c>
      <c r="B623" s="25" t="s">
        <v>109</v>
      </c>
      <c r="C623" s="107">
        <v>65014.66</v>
      </c>
      <c r="D623" s="103">
        <v>64017.3</v>
      </c>
      <c r="E623" s="103">
        <v>20681.88</v>
      </c>
      <c r="F623" s="111">
        <v>45034.1</v>
      </c>
      <c r="G623" s="111">
        <f>E623+F623</f>
        <v>65715.98</v>
      </c>
      <c r="H623" s="18">
        <f t="shared" ref="H623:H627" si="72">IFERROR(D623/C623*100-100,0)</f>
        <v>-1.534054011818256</v>
      </c>
      <c r="I623" s="9">
        <v>0</v>
      </c>
      <c r="J623" s="10">
        <f>IFERROR(I623/#REF!*100,)</f>
        <v>0</v>
      </c>
      <c r="K623" s="28" t="s">
        <v>19</v>
      </c>
      <c r="L623" s="94" t="s">
        <v>19</v>
      </c>
      <c r="M623" s="48"/>
      <c r="O623" s="8"/>
      <c r="P623" s="2"/>
      <c r="Q623" s="3"/>
      <c r="R623" s="3"/>
      <c r="S623" s="3"/>
      <c r="T623" s="3"/>
      <c r="U623" s="3"/>
      <c r="V623" s="3"/>
      <c r="W623" s="3"/>
      <c r="X623" s="3"/>
      <c r="Y623" s="3"/>
      <c r="AP623" s="1" t="s">
        <v>20</v>
      </c>
    </row>
    <row r="624" spans="1:42" ht="104" x14ac:dyDescent="0.6">
      <c r="A624" s="46">
        <v>1</v>
      </c>
      <c r="B624" s="25" t="s">
        <v>415</v>
      </c>
      <c r="C624" s="107">
        <v>0</v>
      </c>
      <c r="D624" s="103">
        <v>0</v>
      </c>
      <c r="E624" s="103">
        <v>334</v>
      </c>
      <c r="F624" s="111">
        <f>(83.5*8)</f>
        <v>668</v>
      </c>
      <c r="G624" s="111">
        <f t="shared" ref="G624:G626" si="73">E624+F624</f>
        <v>1002</v>
      </c>
      <c r="H624" s="18">
        <f t="shared" si="72"/>
        <v>0</v>
      </c>
      <c r="I624" s="9">
        <v>0</v>
      </c>
      <c r="J624" s="10"/>
      <c r="K624" s="28" t="s">
        <v>19</v>
      </c>
      <c r="L624" s="94" t="s">
        <v>19</v>
      </c>
      <c r="M624" s="48"/>
      <c r="O624" s="8"/>
      <c r="P624" s="2"/>
      <c r="Q624" s="3"/>
      <c r="R624" s="3"/>
      <c r="S624" s="3"/>
      <c r="T624" s="3"/>
      <c r="U624" s="3"/>
      <c r="V624" s="3"/>
      <c r="W624" s="3"/>
      <c r="X624" s="3"/>
      <c r="Y624" s="3"/>
    </row>
    <row r="625" spans="1:42" ht="78" x14ac:dyDescent="0.6">
      <c r="A625" s="46">
        <v>1</v>
      </c>
      <c r="B625" s="25" t="s">
        <v>102</v>
      </c>
      <c r="C625" s="107">
        <v>2500</v>
      </c>
      <c r="D625" s="104">
        <v>2000</v>
      </c>
      <c r="E625" s="103">
        <v>0</v>
      </c>
      <c r="F625" s="146">
        <v>2000</v>
      </c>
      <c r="G625" s="111">
        <f t="shared" si="73"/>
        <v>2000</v>
      </c>
      <c r="H625" s="18">
        <f t="shared" si="72"/>
        <v>-20</v>
      </c>
      <c r="I625" s="9">
        <v>0</v>
      </c>
      <c r="J625" s="10">
        <f>IFERROR(I625/#REF!*100,)</f>
        <v>0</v>
      </c>
      <c r="K625" s="28" t="s">
        <v>19</v>
      </c>
      <c r="L625" s="94" t="s">
        <v>19</v>
      </c>
      <c r="P625" s="11"/>
    </row>
    <row r="626" spans="1:42" ht="130" x14ac:dyDescent="0.6">
      <c r="A626" s="46">
        <v>1</v>
      </c>
      <c r="B626" s="25" t="s">
        <v>110</v>
      </c>
      <c r="C626" s="103">
        <v>43305.57</v>
      </c>
      <c r="D626" s="104">
        <v>55000</v>
      </c>
      <c r="E626" s="104">
        <v>15095.95</v>
      </c>
      <c r="F626" s="146">
        <f>(340*8)+(70*8)+(1449.88*8)+(286.25*8)+(1368.45*8)+(205*3)+(300*8)</f>
        <v>31131.64</v>
      </c>
      <c r="G626" s="111">
        <f t="shared" si="73"/>
        <v>46227.59</v>
      </c>
      <c r="H626" s="18">
        <f t="shared" si="72"/>
        <v>27.004447695758316</v>
      </c>
      <c r="I626" s="9">
        <v>0</v>
      </c>
      <c r="J626" s="10">
        <f>IFERROR(I626/#REF!*100,)</f>
        <v>0</v>
      </c>
      <c r="K626" s="28" t="s">
        <v>19</v>
      </c>
      <c r="L626" s="94" t="s">
        <v>19</v>
      </c>
      <c r="M626" s="1" t="s">
        <v>171</v>
      </c>
    </row>
    <row r="627" spans="1:42" s="12" customFormat="1" ht="56.15" customHeight="1" x14ac:dyDescent="0.35">
      <c r="A627" s="228" t="s">
        <v>25</v>
      </c>
      <c r="B627" s="228"/>
      <c r="C627" s="91">
        <f>SUM(C623:C626)</f>
        <v>110820.23000000001</v>
      </c>
      <c r="D627" s="91">
        <f>SUM(D623:D626)</f>
        <v>121017.3</v>
      </c>
      <c r="E627" s="91">
        <f>SUM(E623:E626)</f>
        <v>36111.83</v>
      </c>
      <c r="F627" s="91">
        <f>SUM(F623:F626)</f>
        <v>78833.739999999991</v>
      </c>
      <c r="G627" s="91">
        <f>SUM(G623:G626)</f>
        <v>114945.56999999999</v>
      </c>
      <c r="H627" s="19">
        <f t="shared" si="72"/>
        <v>9.2014517565971516</v>
      </c>
      <c r="I627" s="19">
        <f>SUM(I623:I626)</f>
        <v>0</v>
      </c>
      <c r="J627" s="19">
        <f>IFERROR(I627/#REF!*100,)</f>
        <v>0</v>
      </c>
      <c r="K627" s="36">
        <v>0</v>
      </c>
      <c r="L627" s="96">
        <f>SUM(L623:L626)</f>
        <v>0</v>
      </c>
    </row>
    <row r="628" spans="1:42" ht="55.9" customHeight="1" x14ac:dyDescent="0.6">
      <c r="A628" s="244"/>
      <c r="B628" s="244"/>
      <c r="C628" s="244"/>
      <c r="D628" s="244"/>
      <c r="E628" s="244"/>
      <c r="F628" s="244"/>
      <c r="G628" s="244"/>
      <c r="H628" s="244"/>
      <c r="I628" s="245"/>
      <c r="J628" s="245"/>
    </row>
    <row r="629" spans="1:42" ht="97.5" customHeight="1" x14ac:dyDescent="0.6">
      <c r="A629" s="220" t="s">
        <v>1</v>
      </c>
      <c r="B629" s="221"/>
      <c r="C629" s="222" t="s">
        <v>113</v>
      </c>
      <c r="D629" s="222"/>
      <c r="E629" s="222"/>
      <c r="F629" s="222"/>
      <c r="G629" s="222"/>
      <c r="H629" s="222"/>
      <c r="I629" s="159"/>
      <c r="J629" s="159"/>
      <c r="P629" s="2"/>
      <c r="Q629" s="3"/>
      <c r="R629" s="3"/>
      <c r="S629" s="3"/>
      <c r="T629" s="3"/>
      <c r="U629" s="3"/>
      <c r="V629" s="3"/>
      <c r="W629" s="3"/>
      <c r="X629" s="3"/>
      <c r="Y629" s="3"/>
    </row>
    <row r="630" spans="1:42" ht="97.5" customHeight="1" x14ac:dyDescent="0.6">
      <c r="A630" s="221" t="s">
        <v>3</v>
      </c>
      <c r="B630" s="221"/>
      <c r="C630" s="222" t="s">
        <v>71</v>
      </c>
      <c r="D630" s="222"/>
      <c r="E630" s="222"/>
      <c r="F630" s="222"/>
      <c r="G630" s="222"/>
      <c r="H630" s="222"/>
      <c r="I630" s="160"/>
      <c r="J630" s="160"/>
      <c r="X630" s="3"/>
      <c r="Y630" s="3"/>
    </row>
    <row r="631" spans="1:42" s="6" customFormat="1" ht="49.5" customHeight="1" x14ac:dyDescent="0.6">
      <c r="A631" s="20"/>
      <c r="B631" s="4"/>
      <c r="C631" s="106"/>
      <c r="D631" s="106"/>
      <c r="E631" s="106"/>
      <c r="F631" s="106"/>
      <c r="G631" s="106"/>
      <c r="H631" s="5"/>
      <c r="I631" s="155"/>
      <c r="J631" s="155"/>
      <c r="K631" s="27"/>
      <c r="L631" s="95"/>
      <c r="P631" s="7"/>
      <c r="Q631" s="8"/>
      <c r="R631" s="8"/>
      <c r="S631" s="8"/>
      <c r="T631" s="8"/>
      <c r="U631" s="8"/>
      <c r="V631" s="8"/>
      <c r="W631" s="8"/>
      <c r="X631" s="8"/>
      <c r="Y631" s="8"/>
    </row>
    <row r="632" spans="1:42" ht="97.5" customHeight="1" x14ac:dyDescent="0.6">
      <c r="A632" s="223" t="s">
        <v>5</v>
      </c>
      <c r="B632" s="224"/>
      <c r="C632" s="223" t="s">
        <v>6</v>
      </c>
      <c r="D632" s="224"/>
      <c r="E632" s="224"/>
      <c r="F632" s="224"/>
      <c r="G632" s="224"/>
      <c r="H632" s="225"/>
      <c r="I632" s="226" t="s">
        <v>7</v>
      </c>
      <c r="J632" s="227"/>
      <c r="K632" s="233" t="s">
        <v>309</v>
      </c>
      <c r="L632" s="236" t="s">
        <v>9</v>
      </c>
      <c r="O632" s="8"/>
      <c r="P632" s="8"/>
      <c r="Q632" s="8"/>
      <c r="R632" s="8"/>
      <c r="S632" s="8"/>
      <c r="T632" s="8"/>
      <c r="U632" s="8"/>
      <c r="V632" s="8"/>
      <c r="W632" s="3"/>
      <c r="X632" s="3"/>
      <c r="Y632" s="3"/>
    </row>
    <row r="633" spans="1:42" ht="56.15" customHeight="1" x14ac:dyDescent="0.6">
      <c r="A633" s="223" t="s">
        <v>10</v>
      </c>
      <c r="B633" s="224"/>
      <c r="C633" s="229" t="s">
        <v>11</v>
      </c>
      <c r="D633" s="242" t="s">
        <v>310</v>
      </c>
      <c r="E633" s="223" t="s">
        <v>313</v>
      </c>
      <c r="F633" s="224"/>
      <c r="G633" s="225"/>
      <c r="H633" s="239" t="s">
        <v>315</v>
      </c>
      <c r="I633" s="240" t="s">
        <v>14</v>
      </c>
      <c r="J633" s="240" t="s">
        <v>15</v>
      </c>
      <c r="K633" s="234"/>
      <c r="L633" s="237"/>
      <c r="O633" s="8"/>
      <c r="P633" s="8"/>
      <c r="Q633" s="8"/>
      <c r="R633" s="8"/>
      <c r="S633" s="8"/>
      <c r="T633" s="8"/>
      <c r="U633" s="8"/>
      <c r="V633" s="8"/>
      <c r="W633" s="3"/>
      <c r="X633" s="3"/>
      <c r="Y633" s="3"/>
    </row>
    <row r="634" spans="1:42" ht="97.5" customHeight="1" x14ac:dyDescent="0.6">
      <c r="A634" s="16" t="s">
        <v>16</v>
      </c>
      <c r="B634" s="16" t="s">
        <v>17</v>
      </c>
      <c r="C634" s="230"/>
      <c r="D634" s="243"/>
      <c r="E634" s="16" t="s">
        <v>311</v>
      </c>
      <c r="F634" s="16" t="s">
        <v>312</v>
      </c>
      <c r="G634" s="16" t="s">
        <v>314</v>
      </c>
      <c r="H634" s="239"/>
      <c r="I634" s="241"/>
      <c r="J634" s="241"/>
      <c r="K634" s="235"/>
      <c r="L634" s="238"/>
      <c r="O634" s="8"/>
      <c r="P634" s="8"/>
      <c r="Q634" s="8"/>
      <c r="R634" s="8"/>
      <c r="S634" s="8"/>
      <c r="T634" s="8"/>
      <c r="U634" s="8"/>
      <c r="V634" s="8"/>
      <c r="W634" s="3"/>
      <c r="X634" s="3"/>
      <c r="Y634" s="3"/>
      <c r="AP634" s="1" t="s">
        <v>18</v>
      </c>
    </row>
    <row r="635" spans="1:42" ht="78" x14ac:dyDescent="0.6">
      <c r="A635" s="46">
        <v>1</v>
      </c>
      <c r="B635" s="25" t="s">
        <v>109</v>
      </c>
      <c r="C635" s="108">
        <v>70286.899999999994</v>
      </c>
      <c r="D635" s="103">
        <v>70902.61</v>
      </c>
      <c r="E635" s="103">
        <v>32190.880000000001</v>
      </c>
      <c r="F635" s="111">
        <v>96229.2</v>
      </c>
      <c r="G635" s="111">
        <f>E635+F635</f>
        <v>128420.08</v>
      </c>
      <c r="H635" s="18">
        <f t="shared" ref="H635:H639" si="74">IFERROR(D635/C635*100-100,0)</f>
        <v>0.8759953846307269</v>
      </c>
      <c r="I635" s="9">
        <v>0</v>
      </c>
      <c r="J635" s="10">
        <f>IFERROR(I635/#REF!*100,)</f>
        <v>0</v>
      </c>
      <c r="K635" s="28" t="s">
        <v>19</v>
      </c>
      <c r="L635" s="94" t="s">
        <v>19</v>
      </c>
      <c r="M635" s="48"/>
      <c r="O635" s="8"/>
      <c r="P635" s="2"/>
      <c r="Q635" s="3"/>
      <c r="R635" s="3"/>
      <c r="S635" s="3"/>
      <c r="T635" s="3"/>
      <c r="U635" s="3"/>
      <c r="V635" s="3"/>
      <c r="W635" s="3"/>
      <c r="X635" s="3"/>
      <c r="Y635" s="3"/>
      <c r="AP635" s="1" t="s">
        <v>20</v>
      </c>
    </row>
    <row r="636" spans="1:42" ht="104" x14ac:dyDescent="0.6">
      <c r="A636" s="46">
        <v>1</v>
      </c>
      <c r="B636" s="25" t="s">
        <v>415</v>
      </c>
      <c r="C636" s="108">
        <v>0</v>
      </c>
      <c r="D636" s="103">
        <v>0</v>
      </c>
      <c r="E636" s="103">
        <v>334</v>
      </c>
      <c r="F636" s="111">
        <f>83.5*8</f>
        <v>668</v>
      </c>
      <c r="G636" s="111">
        <f t="shared" ref="G636:G638" si="75">E636+F636</f>
        <v>1002</v>
      </c>
      <c r="H636" s="18">
        <f t="shared" si="74"/>
        <v>0</v>
      </c>
      <c r="I636" s="9">
        <v>0</v>
      </c>
      <c r="J636" s="10">
        <f>IFERROR(I636/#REF!*100,)</f>
        <v>0</v>
      </c>
      <c r="K636" s="28" t="s">
        <v>19</v>
      </c>
      <c r="L636" s="94" t="s">
        <v>19</v>
      </c>
      <c r="M636" s="127" t="s">
        <v>172</v>
      </c>
      <c r="O636" s="8"/>
      <c r="P636" s="2"/>
      <c r="Q636" s="3"/>
      <c r="R636" s="3"/>
      <c r="S636" s="3"/>
      <c r="T636" s="3"/>
      <c r="U636" s="3"/>
      <c r="V636" s="3"/>
      <c r="W636" s="3"/>
      <c r="X636" s="3"/>
      <c r="Y636" s="3"/>
    </row>
    <row r="637" spans="1:42" ht="78" x14ac:dyDescent="0.6">
      <c r="A637" s="46">
        <v>1</v>
      </c>
      <c r="B637" s="25" t="s">
        <v>102</v>
      </c>
      <c r="C637" s="107">
        <v>2500</v>
      </c>
      <c r="D637" s="104">
        <v>2000</v>
      </c>
      <c r="E637" s="104">
        <v>0</v>
      </c>
      <c r="F637" s="146">
        <v>2000</v>
      </c>
      <c r="G637" s="111">
        <f t="shared" si="75"/>
        <v>2000</v>
      </c>
      <c r="H637" s="18">
        <f t="shared" si="74"/>
        <v>-20</v>
      </c>
      <c r="I637" s="9">
        <v>0</v>
      </c>
      <c r="J637" s="10">
        <f>IFERROR(I637/#REF!*100,)</f>
        <v>0</v>
      </c>
      <c r="K637" s="28" t="s">
        <v>19</v>
      </c>
      <c r="L637" s="94" t="s">
        <v>19</v>
      </c>
      <c r="M637" s="48"/>
      <c r="P637" s="11"/>
    </row>
    <row r="638" spans="1:42" ht="130" x14ac:dyDescent="0.6">
      <c r="A638" s="46">
        <v>1</v>
      </c>
      <c r="B638" s="25" t="s">
        <v>110</v>
      </c>
      <c r="C638" s="103">
        <v>56741.91</v>
      </c>
      <c r="D638" s="104">
        <v>60000</v>
      </c>
      <c r="E638" s="104">
        <v>20019.34</v>
      </c>
      <c r="F638" s="219">
        <f>(200*8)+(2329.7*8)+(286.25*8)+(1253.68*8)+(300*8)+(800*8)</f>
        <v>41357.040000000001</v>
      </c>
      <c r="G638" s="111">
        <f t="shared" si="75"/>
        <v>61376.380000000005</v>
      </c>
      <c r="H638" s="18">
        <f t="shared" si="74"/>
        <v>5.7419462968377246</v>
      </c>
      <c r="I638" s="9">
        <v>0</v>
      </c>
      <c r="J638" s="10">
        <f>IFERROR(I638/#REF!*100,)</f>
        <v>0</v>
      </c>
      <c r="K638" s="28" t="s">
        <v>19</v>
      </c>
      <c r="L638" s="94" t="s">
        <v>19</v>
      </c>
      <c r="M638" s="1" t="s">
        <v>173</v>
      </c>
    </row>
    <row r="639" spans="1:42" s="12" customFormat="1" ht="56.15" customHeight="1" x14ac:dyDescent="0.35">
      <c r="A639" s="228" t="s">
        <v>25</v>
      </c>
      <c r="B639" s="228"/>
      <c r="C639" s="91">
        <f>SUM(C635:C638)</f>
        <v>129528.81</v>
      </c>
      <c r="D639" s="91">
        <f>SUM(D635:D638)</f>
        <v>132902.60999999999</v>
      </c>
      <c r="E639" s="91">
        <f>SUM(E635:E638)</f>
        <v>52544.22</v>
      </c>
      <c r="F639" s="91">
        <f>SUM(F635:F638)</f>
        <v>140254.24</v>
      </c>
      <c r="G639" s="91">
        <f>SUM(G635:G638)</f>
        <v>192798.46000000002</v>
      </c>
      <c r="H639" s="19">
        <f t="shared" si="74"/>
        <v>2.6046715012667789</v>
      </c>
      <c r="I639" s="19">
        <f>SUM(I635:I638)</f>
        <v>0</v>
      </c>
      <c r="J639" s="19">
        <f>IFERROR(I639/#REF!*100,)</f>
        <v>0</v>
      </c>
      <c r="K639" s="36">
        <v>0</v>
      </c>
      <c r="L639" s="96">
        <f>SUM(L635:L638)</f>
        <v>0</v>
      </c>
    </row>
    <row r="640" spans="1:42" ht="55.9" customHeight="1" x14ac:dyDescent="0.6">
      <c r="A640" s="244"/>
      <c r="B640" s="244"/>
      <c r="C640" s="244"/>
      <c r="D640" s="244"/>
      <c r="E640" s="244"/>
      <c r="F640" s="244"/>
      <c r="G640" s="244"/>
      <c r="H640" s="244"/>
      <c r="I640" s="245"/>
      <c r="J640" s="245"/>
    </row>
    <row r="641" spans="1:42" ht="97.5" customHeight="1" x14ac:dyDescent="0.6">
      <c r="A641" s="220" t="s">
        <v>1</v>
      </c>
      <c r="B641" s="221"/>
      <c r="C641" s="222" t="s">
        <v>114</v>
      </c>
      <c r="D641" s="222"/>
      <c r="E641" s="222"/>
      <c r="F641" s="222"/>
      <c r="G641" s="222"/>
      <c r="H641" s="222"/>
      <c r="I641" s="159"/>
      <c r="J641" s="159"/>
      <c r="P641" s="2"/>
      <c r="Q641" s="3"/>
      <c r="R641" s="3"/>
      <c r="S641" s="3"/>
      <c r="T641" s="3"/>
      <c r="U641" s="3"/>
      <c r="V641" s="3"/>
      <c r="W641" s="3"/>
      <c r="X641" s="3"/>
      <c r="Y641" s="3"/>
    </row>
    <row r="642" spans="1:42" ht="97.5" customHeight="1" x14ac:dyDescent="0.6">
      <c r="A642" s="221" t="s">
        <v>3</v>
      </c>
      <c r="B642" s="221"/>
      <c r="C642" s="222" t="s">
        <v>71</v>
      </c>
      <c r="D642" s="222"/>
      <c r="E642" s="222"/>
      <c r="F642" s="222"/>
      <c r="G642" s="222"/>
      <c r="H642" s="222"/>
      <c r="I642" s="160"/>
      <c r="J642" s="160"/>
      <c r="X642" s="3"/>
      <c r="Y642" s="3"/>
    </row>
    <row r="643" spans="1:42" s="6" customFormat="1" ht="49.5" customHeight="1" x14ac:dyDescent="0.6">
      <c r="A643" s="20"/>
      <c r="B643" s="4"/>
      <c r="C643" s="106"/>
      <c r="D643" s="106"/>
      <c r="E643" s="106"/>
      <c r="F643" s="106"/>
      <c r="G643" s="106"/>
      <c r="H643" s="5"/>
      <c r="I643" s="155"/>
      <c r="J643" s="155"/>
      <c r="K643" s="27"/>
      <c r="L643" s="95"/>
      <c r="P643" s="7"/>
      <c r="Q643" s="8"/>
      <c r="R643" s="8"/>
      <c r="S643" s="8"/>
      <c r="T643" s="8"/>
      <c r="U643" s="8"/>
      <c r="V643" s="8"/>
      <c r="W643" s="8"/>
      <c r="X643" s="8"/>
      <c r="Y643" s="8"/>
    </row>
    <row r="644" spans="1:42" ht="97.5" customHeight="1" x14ac:dyDescent="0.6">
      <c r="A644" s="223" t="s">
        <v>5</v>
      </c>
      <c r="B644" s="224"/>
      <c r="C644" s="223" t="s">
        <v>6</v>
      </c>
      <c r="D644" s="224"/>
      <c r="E644" s="224"/>
      <c r="F644" s="224"/>
      <c r="G644" s="224"/>
      <c r="H644" s="225"/>
      <c r="I644" s="226" t="s">
        <v>7</v>
      </c>
      <c r="J644" s="227"/>
      <c r="K644" s="233" t="s">
        <v>309</v>
      </c>
      <c r="L644" s="236" t="s">
        <v>9</v>
      </c>
      <c r="O644" s="8"/>
      <c r="P644" s="8"/>
      <c r="Q644" s="8"/>
      <c r="R644" s="8"/>
      <c r="S644" s="8"/>
      <c r="T644" s="8"/>
      <c r="U644" s="8"/>
      <c r="V644" s="8"/>
      <c r="W644" s="3"/>
      <c r="X644" s="3"/>
      <c r="Y644" s="3"/>
    </row>
    <row r="645" spans="1:42" ht="56.15" customHeight="1" x14ac:dyDescent="0.6">
      <c r="A645" s="223" t="s">
        <v>10</v>
      </c>
      <c r="B645" s="224"/>
      <c r="C645" s="229" t="s">
        <v>11</v>
      </c>
      <c r="D645" s="242" t="s">
        <v>310</v>
      </c>
      <c r="E645" s="223" t="s">
        <v>313</v>
      </c>
      <c r="F645" s="224"/>
      <c r="G645" s="225"/>
      <c r="H645" s="239" t="s">
        <v>315</v>
      </c>
      <c r="I645" s="240" t="s">
        <v>14</v>
      </c>
      <c r="J645" s="240" t="s">
        <v>15</v>
      </c>
      <c r="K645" s="234"/>
      <c r="L645" s="237"/>
      <c r="O645" s="8"/>
      <c r="P645" s="8"/>
      <c r="Q645" s="8"/>
      <c r="R645" s="8"/>
      <c r="S645" s="8"/>
      <c r="T645" s="8"/>
      <c r="U645" s="8"/>
      <c r="V645" s="8"/>
      <c r="W645" s="3"/>
      <c r="X645" s="3"/>
      <c r="Y645" s="3"/>
    </row>
    <row r="646" spans="1:42" ht="97.5" customHeight="1" x14ac:dyDescent="0.6">
      <c r="A646" s="16" t="s">
        <v>16</v>
      </c>
      <c r="B646" s="16" t="s">
        <v>17</v>
      </c>
      <c r="C646" s="230"/>
      <c r="D646" s="243"/>
      <c r="E646" s="16" t="s">
        <v>311</v>
      </c>
      <c r="F646" s="16" t="s">
        <v>312</v>
      </c>
      <c r="G646" s="16" t="s">
        <v>314</v>
      </c>
      <c r="H646" s="239"/>
      <c r="I646" s="241"/>
      <c r="J646" s="241"/>
      <c r="K646" s="235"/>
      <c r="L646" s="238"/>
      <c r="O646" s="8"/>
      <c r="P646" s="8"/>
      <c r="Q646" s="8"/>
      <c r="R646" s="8"/>
      <c r="S646" s="8"/>
      <c r="T646" s="8"/>
      <c r="U646" s="8"/>
      <c r="V646" s="8"/>
      <c r="W646" s="3"/>
      <c r="X646" s="3"/>
      <c r="Y646" s="3"/>
      <c r="AP646" s="1" t="s">
        <v>18</v>
      </c>
    </row>
    <row r="647" spans="1:42" ht="78" x14ac:dyDescent="0.6">
      <c r="A647" s="46">
        <v>1</v>
      </c>
      <c r="B647" s="25" t="s">
        <v>109</v>
      </c>
      <c r="C647" s="107">
        <v>96392.48</v>
      </c>
      <c r="D647" s="103">
        <v>96474.32</v>
      </c>
      <c r="E647" s="103">
        <v>30263.49</v>
      </c>
      <c r="F647" s="111">
        <v>68972.479999999996</v>
      </c>
      <c r="G647" s="111">
        <f>E647+F647</f>
        <v>99235.97</v>
      </c>
      <c r="H647" s="60">
        <f t="shared" ref="H647:H651" si="76">IFERROR(D647/C647*100-100,0)</f>
        <v>8.4902888690081113E-2</v>
      </c>
      <c r="I647" s="9">
        <v>0</v>
      </c>
      <c r="J647" s="10">
        <f>IFERROR(I647/#REF!*100,)</f>
        <v>0</v>
      </c>
      <c r="K647" s="28" t="s">
        <v>19</v>
      </c>
      <c r="L647" s="94" t="s">
        <v>19</v>
      </c>
      <c r="M647" s="48"/>
      <c r="O647" s="8"/>
      <c r="P647" s="2"/>
      <c r="Q647" s="3"/>
      <c r="R647" s="3"/>
      <c r="S647" s="3"/>
      <c r="T647" s="3"/>
      <c r="U647" s="3"/>
      <c r="V647" s="3"/>
      <c r="W647" s="3"/>
      <c r="X647" s="3"/>
      <c r="Y647" s="3"/>
      <c r="AP647" s="1" t="s">
        <v>20</v>
      </c>
    </row>
    <row r="648" spans="1:42" ht="104" x14ac:dyDescent="0.6">
      <c r="A648" s="46">
        <v>1</v>
      </c>
      <c r="B648" s="25" t="s">
        <v>415</v>
      </c>
      <c r="C648" s="107">
        <v>0</v>
      </c>
      <c r="D648" s="103">
        <v>0</v>
      </c>
      <c r="E648" s="103">
        <v>334</v>
      </c>
      <c r="F648" s="111">
        <f>83.5*8</f>
        <v>668</v>
      </c>
      <c r="G648" s="111">
        <f t="shared" ref="G648:G650" si="77">E648+F648</f>
        <v>1002</v>
      </c>
      <c r="H648" s="60">
        <f t="shared" si="76"/>
        <v>0</v>
      </c>
      <c r="I648" s="9">
        <v>0</v>
      </c>
      <c r="J648" s="10">
        <f>IFERROR(I648/#REF!*100,)</f>
        <v>0</v>
      </c>
      <c r="K648" s="28" t="s">
        <v>19</v>
      </c>
      <c r="L648" s="94" t="s">
        <v>19</v>
      </c>
      <c r="M648" s="127" t="s">
        <v>172</v>
      </c>
      <c r="O648" s="8"/>
      <c r="P648" s="2"/>
      <c r="Q648" s="3"/>
      <c r="R648" s="3"/>
      <c r="S648" s="3"/>
      <c r="T648" s="3"/>
      <c r="U648" s="3"/>
      <c r="V648" s="3"/>
      <c r="W648" s="3"/>
      <c r="X648" s="3"/>
      <c r="Y648" s="3"/>
    </row>
    <row r="649" spans="1:42" ht="78" x14ac:dyDescent="0.6">
      <c r="A649" s="46">
        <v>1</v>
      </c>
      <c r="B649" s="25" t="s">
        <v>102</v>
      </c>
      <c r="C649" s="107">
        <v>2500</v>
      </c>
      <c r="D649" s="104">
        <v>2000</v>
      </c>
      <c r="E649" s="104">
        <v>0</v>
      </c>
      <c r="F649" s="146">
        <v>2000</v>
      </c>
      <c r="G649" s="111">
        <f t="shared" si="77"/>
        <v>2000</v>
      </c>
      <c r="H649" s="60">
        <f t="shared" si="76"/>
        <v>-20</v>
      </c>
      <c r="I649" s="9">
        <v>0</v>
      </c>
      <c r="J649" s="10">
        <f>IFERROR(I649/#REF!*100,)</f>
        <v>0</v>
      </c>
      <c r="K649" s="28" t="s">
        <v>19</v>
      </c>
      <c r="L649" s="94" t="s">
        <v>19</v>
      </c>
      <c r="P649" s="11"/>
    </row>
    <row r="650" spans="1:42" ht="130" x14ac:dyDescent="0.6">
      <c r="A650" s="46">
        <v>1</v>
      </c>
      <c r="B650" s="25" t="s">
        <v>110</v>
      </c>
      <c r="C650" s="103">
        <v>70251.48</v>
      </c>
      <c r="D650" s="104">
        <v>73000</v>
      </c>
      <c r="E650" s="104">
        <v>24321.7</v>
      </c>
      <c r="F650" s="219">
        <f>(250*8)+(2510*8)+(284.16*8)+(1223.46*8)+(500*8)+(800*8)+(119.9*8)+(400*8)-0.01</f>
        <v>48700.149999999994</v>
      </c>
      <c r="G650" s="111">
        <f>E650+F650</f>
        <v>73021.849999999991</v>
      </c>
      <c r="H650" s="60">
        <f t="shared" si="76"/>
        <v>3.9124015607927589</v>
      </c>
      <c r="I650" s="9">
        <v>0</v>
      </c>
      <c r="J650" s="10">
        <f>IFERROR(I650/#REF!*100,)</f>
        <v>0</v>
      </c>
      <c r="K650" s="28" t="s">
        <v>19</v>
      </c>
      <c r="L650" s="94" t="s">
        <v>19</v>
      </c>
      <c r="M650" s="1" t="s">
        <v>174</v>
      </c>
    </row>
    <row r="651" spans="1:42" s="12" customFormat="1" ht="56.15" customHeight="1" x14ac:dyDescent="0.35">
      <c r="A651" s="228" t="s">
        <v>25</v>
      </c>
      <c r="B651" s="228"/>
      <c r="C651" s="91">
        <f>SUM(C647:C650)</f>
        <v>169143.96</v>
      </c>
      <c r="D651" s="91">
        <f>SUM(D647:D650)</f>
        <v>171474.32</v>
      </c>
      <c r="E651" s="91">
        <f>SUM(E647:E650)</f>
        <v>54919.19</v>
      </c>
      <c r="F651" s="91">
        <f>SUM(F647:F650)</f>
        <v>120340.62999999999</v>
      </c>
      <c r="G651" s="91">
        <f>SUM(G647:G650)</f>
        <v>175259.82</v>
      </c>
      <c r="H651" s="19">
        <f t="shared" si="76"/>
        <v>1.3777376383998501</v>
      </c>
      <c r="I651" s="19">
        <f>SUM(I647:I650)</f>
        <v>0</v>
      </c>
      <c r="J651" s="19">
        <f>IFERROR(I651/#REF!*100,)</f>
        <v>0</v>
      </c>
      <c r="K651" s="36">
        <v>0</v>
      </c>
      <c r="L651" s="96">
        <f>SUM(L647:L650)</f>
        <v>0</v>
      </c>
      <c r="M651" s="55"/>
    </row>
    <row r="652" spans="1:42" ht="55.9" customHeight="1" x14ac:dyDescent="0.6">
      <c r="A652" s="244"/>
      <c r="B652" s="244"/>
      <c r="C652" s="244"/>
      <c r="D652" s="244"/>
      <c r="E652" s="244"/>
      <c r="F652" s="244"/>
      <c r="G652" s="244"/>
      <c r="H652" s="244"/>
      <c r="I652" s="245"/>
      <c r="J652" s="245"/>
    </row>
    <row r="653" spans="1:42" ht="97.5" customHeight="1" x14ac:dyDescent="0.6">
      <c r="A653" s="220" t="s">
        <v>1</v>
      </c>
      <c r="B653" s="221"/>
      <c r="C653" s="222" t="s">
        <v>234</v>
      </c>
      <c r="D653" s="222"/>
      <c r="E653" s="222"/>
      <c r="F653" s="222"/>
      <c r="G653" s="222"/>
      <c r="H653" s="222"/>
      <c r="I653" s="159"/>
      <c r="J653" s="159"/>
      <c r="P653" s="2"/>
      <c r="Q653" s="3"/>
      <c r="R653" s="3"/>
      <c r="S653" s="3"/>
      <c r="T653" s="3"/>
      <c r="U653" s="3"/>
      <c r="V653" s="3"/>
      <c r="W653" s="3"/>
      <c r="X653" s="3"/>
      <c r="Y653" s="3"/>
    </row>
    <row r="654" spans="1:42" ht="97.5" customHeight="1" x14ac:dyDescent="0.6">
      <c r="A654" s="221" t="s">
        <v>3</v>
      </c>
      <c r="B654" s="221"/>
      <c r="C654" s="222" t="s">
        <v>71</v>
      </c>
      <c r="D654" s="222"/>
      <c r="E654" s="222"/>
      <c r="F654" s="222"/>
      <c r="G654" s="222"/>
      <c r="H654" s="222"/>
      <c r="I654" s="160"/>
      <c r="J654" s="160"/>
      <c r="X654" s="3"/>
      <c r="Y654" s="3"/>
    </row>
    <row r="655" spans="1:42" s="6" customFormat="1" ht="49.5" customHeight="1" x14ac:dyDescent="0.6">
      <c r="A655" s="20"/>
      <c r="B655" s="4"/>
      <c r="C655" s="106"/>
      <c r="D655" s="106"/>
      <c r="E655" s="106"/>
      <c r="F655" s="106"/>
      <c r="G655" s="106"/>
      <c r="H655" s="5"/>
      <c r="I655" s="155"/>
      <c r="J655" s="155"/>
      <c r="K655" s="27"/>
      <c r="L655" s="95"/>
      <c r="P655" s="7"/>
      <c r="Q655" s="8"/>
      <c r="R655" s="8"/>
      <c r="S655" s="8"/>
      <c r="T655" s="8"/>
      <c r="U655" s="8"/>
      <c r="V655" s="8"/>
      <c r="W655" s="8"/>
      <c r="X655" s="8"/>
      <c r="Y655" s="8"/>
    </row>
    <row r="656" spans="1:42" ht="97.5" customHeight="1" x14ac:dyDescent="0.6">
      <c r="A656" s="223" t="s">
        <v>5</v>
      </c>
      <c r="B656" s="224"/>
      <c r="C656" s="223" t="s">
        <v>6</v>
      </c>
      <c r="D656" s="224"/>
      <c r="E656" s="224"/>
      <c r="F656" s="224"/>
      <c r="G656" s="224"/>
      <c r="H656" s="225"/>
      <c r="I656" s="226" t="s">
        <v>7</v>
      </c>
      <c r="J656" s="227"/>
      <c r="K656" s="233" t="s">
        <v>309</v>
      </c>
      <c r="L656" s="236" t="s">
        <v>9</v>
      </c>
      <c r="O656" s="8"/>
      <c r="P656" s="8"/>
      <c r="Q656" s="8"/>
      <c r="R656" s="8"/>
      <c r="S656" s="8"/>
      <c r="T656" s="8"/>
      <c r="U656" s="8"/>
      <c r="V656" s="8"/>
      <c r="W656" s="3"/>
      <c r="X656" s="3"/>
      <c r="Y656" s="3"/>
    </row>
    <row r="657" spans="1:42" ht="56.15" customHeight="1" x14ac:dyDescent="0.6">
      <c r="A657" s="223" t="s">
        <v>10</v>
      </c>
      <c r="B657" s="224"/>
      <c r="C657" s="229" t="s">
        <v>11</v>
      </c>
      <c r="D657" s="242" t="s">
        <v>310</v>
      </c>
      <c r="E657" s="223" t="s">
        <v>313</v>
      </c>
      <c r="F657" s="224"/>
      <c r="G657" s="225"/>
      <c r="H657" s="239" t="s">
        <v>315</v>
      </c>
      <c r="I657" s="240" t="s">
        <v>14</v>
      </c>
      <c r="J657" s="240" t="s">
        <v>15</v>
      </c>
      <c r="K657" s="234"/>
      <c r="L657" s="237"/>
      <c r="O657" s="8"/>
      <c r="P657" s="8"/>
      <c r="Q657" s="8"/>
      <c r="R657" s="8"/>
      <c r="S657" s="8"/>
      <c r="T657" s="8"/>
      <c r="U657" s="8"/>
      <c r="V657" s="8"/>
      <c r="W657" s="3"/>
      <c r="X657" s="3"/>
      <c r="Y657" s="3"/>
    </row>
    <row r="658" spans="1:42" ht="97.5" customHeight="1" x14ac:dyDescent="0.6">
      <c r="A658" s="16" t="s">
        <v>16</v>
      </c>
      <c r="B658" s="16" t="s">
        <v>17</v>
      </c>
      <c r="C658" s="230"/>
      <c r="D658" s="243"/>
      <c r="E658" s="16" t="s">
        <v>311</v>
      </c>
      <c r="F658" s="16" t="s">
        <v>312</v>
      </c>
      <c r="G658" s="16" t="s">
        <v>314</v>
      </c>
      <c r="H658" s="239"/>
      <c r="I658" s="241"/>
      <c r="J658" s="241"/>
      <c r="K658" s="235"/>
      <c r="L658" s="238"/>
      <c r="O658" s="8"/>
      <c r="P658" s="8"/>
      <c r="Q658" s="8"/>
      <c r="R658" s="8"/>
      <c r="S658" s="8"/>
      <c r="T658" s="8"/>
      <c r="U658" s="8"/>
      <c r="V658" s="8"/>
      <c r="W658" s="3"/>
      <c r="X658" s="3"/>
      <c r="Y658" s="3"/>
    </row>
    <row r="659" spans="1:42" ht="78" x14ac:dyDescent="0.6">
      <c r="A659" s="46">
        <v>1</v>
      </c>
      <c r="B659" s="25" t="s">
        <v>109</v>
      </c>
      <c r="C659" s="107">
        <v>0</v>
      </c>
      <c r="D659" s="103">
        <v>31022.240000000002</v>
      </c>
      <c r="E659" s="103">
        <v>0</v>
      </c>
      <c r="F659" s="111">
        <v>0</v>
      </c>
      <c r="G659" s="111">
        <f>E659+F659</f>
        <v>0</v>
      </c>
      <c r="H659" s="60">
        <f>IFERROR(D659/C659*100-100,0)</f>
        <v>0</v>
      </c>
      <c r="I659" s="9">
        <v>0</v>
      </c>
      <c r="J659" s="10">
        <f>IFERROR(I659/#REF!*100,)</f>
        <v>0</v>
      </c>
      <c r="K659" s="28" t="s">
        <v>19</v>
      </c>
      <c r="L659" s="94" t="s">
        <v>19</v>
      </c>
      <c r="M659" s="48"/>
      <c r="O659" s="8"/>
      <c r="P659" s="2"/>
      <c r="Q659" s="3"/>
      <c r="R659" s="3"/>
      <c r="S659" s="3"/>
      <c r="T659" s="3"/>
      <c r="U659" s="3"/>
      <c r="V659" s="3"/>
      <c r="W659" s="3"/>
      <c r="X659" s="3"/>
      <c r="Y659" s="3"/>
    </row>
    <row r="660" spans="1:42" ht="78" x14ac:dyDescent="0.6">
      <c r="A660" s="46">
        <v>1</v>
      </c>
      <c r="B660" s="25" t="s">
        <v>102</v>
      </c>
      <c r="C660" s="107">
        <v>0</v>
      </c>
      <c r="D660" s="103">
        <v>2000</v>
      </c>
      <c r="E660" s="103">
        <v>0</v>
      </c>
      <c r="F660" s="111">
        <v>2000</v>
      </c>
      <c r="G660" s="111">
        <f t="shared" ref="G660:G662" si="78">E660+F660</f>
        <v>2000</v>
      </c>
      <c r="H660" s="60">
        <f>IFERROR(D660/C660*100-100,0)</f>
        <v>0</v>
      </c>
      <c r="I660" s="9">
        <v>0</v>
      </c>
      <c r="J660" s="10">
        <f>IFERROR(I660/#REF!*100,)</f>
        <v>0</v>
      </c>
      <c r="K660" s="28" t="s">
        <v>19</v>
      </c>
      <c r="L660" s="94" t="s">
        <v>19</v>
      </c>
      <c r="M660" s="127"/>
      <c r="O660" s="8"/>
      <c r="P660" s="2"/>
      <c r="Q660" s="3"/>
      <c r="R660" s="3"/>
      <c r="S660" s="3"/>
      <c r="T660" s="3"/>
      <c r="U660" s="3"/>
      <c r="V660" s="3"/>
      <c r="W660" s="3"/>
      <c r="X660" s="3"/>
      <c r="Y660" s="3"/>
    </row>
    <row r="661" spans="1:42" ht="130" x14ac:dyDescent="0.6">
      <c r="A661" s="46">
        <v>1</v>
      </c>
      <c r="B661" s="25" t="s">
        <v>110</v>
      </c>
      <c r="C661" s="107">
        <v>0</v>
      </c>
      <c r="D661" s="104">
        <v>30000</v>
      </c>
      <c r="E661" s="104">
        <v>0</v>
      </c>
      <c r="F661" s="146">
        <v>30000</v>
      </c>
      <c r="G661" s="111">
        <f t="shared" si="78"/>
        <v>30000</v>
      </c>
      <c r="H661" s="60">
        <f>IFERROR(D661/C661*100-100,0)</f>
        <v>0</v>
      </c>
      <c r="I661" s="9">
        <v>0</v>
      </c>
      <c r="J661" s="10">
        <f>IFERROR(I661/#REF!*100,)</f>
        <v>0</v>
      </c>
      <c r="K661" s="28" t="s">
        <v>19</v>
      </c>
      <c r="L661" s="94" t="s">
        <v>19</v>
      </c>
      <c r="P661" s="11"/>
      <c r="AP661" s="1" t="s">
        <v>18</v>
      </c>
    </row>
    <row r="662" spans="1:42" ht="130" x14ac:dyDescent="0.6">
      <c r="A662" s="46">
        <v>1</v>
      </c>
      <c r="B662" s="25" t="s">
        <v>306</v>
      </c>
      <c r="C662" s="103"/>
      <c r="D662" s="104">
        <v>0</v>
      </c>
      <c r="E662" s="104">
        <v>0</v>
      </c>
      <c r="F662" s="219">
        <f>800000-800000</f>
        <v>0</v>
      </c>
      <c r="G662" s="111">
        <f t="shared" si="78"/>
        <v>0</v>
      </c>
      <c r="H662" s="60"/>
      <c r="I662" s="9">
        <v>0</v>
      </c>
      <c r="J662" s="10">
        <f>IFERROR(I662/#REF!*100,)</f>
        <v>0</v>
      </c>
      <c r="K662" s="28" t="s">
        <v>229</v>
      </c>
      <c r="L662" s="94" t="s">
        <v>19</v>
      </c>
    </row>
    <row r="663" spans="1:42" ht="55.5" customHeight="1" x14ac:dyDescent="0.6">
      <c r="A663" s="228" t="s">
        <v>25</v>
      </c>
      <c r="B663" s="315"/>
      <c r="C663" s="91" t="e">
        <f>SUM(#REF!)</f>
        <v>#REF!</v>
      </c>
      <c r="D663" s="91">
        <f>SUM(D659:D662)</f>
        <v>63022.240000000005</v>
      </c>
      <c r="E663" s="91">
        <f>SUM(E659:E662)</f>
        <v>0</v>
      </c>
      <c r="F663" s="91">
        <f>SUM(F659:F662)</f>
        <v>32000</v>
      </c>
      <c r="G663" s="91">
        <f>SUM(G659:G662)</f>
        <v>32000</v>
      </c>
      <c r="H663" s="19">
        <f>IFERROR(D663/C663*100-100,0)</f>
        <v>0</v>
      </c>
      <c r="I663" s="19">
        <f>SUM(I659:I662)</f>
        <v>0</v>
      </c>
      <c r="J663" s="19">
        <f>IFERROR(I663/#REF!*100,)</f>
        <v>0</v>
      </c>
      <c r="K663" s="36">
        <v>0</v>
      </c>
      <c r="L663" s="96">
        <f>SUM(L659:L662)</f>
        <v>0</v>
      </c>
    </row>
    <row r="665" spans="1:42" x14ac:dyDescent="0.6">
      <c r="A665" s="57"/>
      <c r="B665" s="57"/>
      <c r="C665" s="113"/>
      <c r="D665" s="113"/>
      <c r="E665" s="113">
        <f>E667-E666</f>
        <v>0</v>
      </c>
      <c r="F665" s="113"/>
      <c r="G665" s="113"/>
      <c r="H665" s="58"/>
      <c r="I665" s="3"/>
      <c r="J665" s="3"/>
      <c r="K665" s="3"/>
    </row>
    <row r="666" spans="1:42" x14ac:dyDescent="0.6">
      <c r="A666" s="231" t="s">
        <v>25</v>
      </c>
      <c r="B666" s="232"/>
      <c r="C666" s="120" t="e">
        <f>C57+C40+C71+C27+C15+C147+C183+C209+#REF!+C131+C218+C156+C260+C192+C97+C279+C311+#REF!+C378+C353+C423+C445+C244+C459+C481+#REF!+C495+C504+C528+C582+C591+C559+C515+C603+C615+C627+C639+C651+#REF!+C108+C117+#REF!+C432+#REF!+C165+#REF!+C363</f>
        <v>#REF!</v>
      </c>
      <c r="D666" s="120">
        <f>D15+D27+D40+D57+D71+D88+D97+D108+D117+D131+D147+D156+D165+D183+D192+D209+D218+D233+D244+D253+D270+D311+D325+D353+D363+D378+D389+D400+D411+D423+D432+D445+D459+D468+D481+D495+D504+D515+D528+D542+D559+D573+D582+D591+D603+D615+D627+D639+D651+D663</f>
        <v>17147683.309999995</v>
      </c>
      <c r="E666" s="120">
        <f>E15+E27+E40+E57+E71+E88+E97+E108+E117+E131+E147+E156+E165+E183+E192+E209+E218+E233+E244+E253+E270+E311+E325+E353+E363+E378+E389+E400+E411+E423+E432+E445+E459+E468+E481+E495+E504+E515+E528+E542+E559+E573+E582+E591+E603+E615+E627+E639+E651+E663</f>
        <v>4632304.03</v>
      </c>
      <c r="F666" s="120">
        <f>F15+F27+F40+F57+F71+F88+F97+F108+F117+F131+F147+F156+F165+F183+F192+F209+F218+F233+F244+F253+F270+F311+F325+F353+F363+F378+F389+F400+F411+F423+F432+F445+F459+F468+F481+F495+F504+F515+F528+F542+F559+F573+F582+F591+F603+F615+F627+F639+F651+F663</f>
        <v>14554409.743587336</v>
      </c>
      <c r="G666" s="120">
        <f>G15+G27+G40+G57+G71+G88+G97+G108+G117+G131+G147+G156+G165+G183+G192+G209+G218+G233+G244+G253+G270+G311+G325+G353+G363+G378+G389+G400+G411+G423+G432+G445+G459+G468+G481+G495+G504+G515+G528+G542+G559+G573+G582+G591+G603+G615+G627+G639+G651+G663</f>
        <v>19186713.773587339</v>
      </c>
      <c r="H666" s="120"/>
      <c r="I666" s="40"/>
      <c r="J666" s="40"/>
      <c r="K666" s="40"/>
      <c r="L666" s="94">
        <f>L15+L27+L40+L57+L71+L88+L97+L108+L117+L131+L147+L156+L165+L183+L192+L209+L218+L233+L244+L253+L270+L311+L325+L353+L363+L378+L389+L400+L411+L423+L432+L445+L459+L468+L481+L495+L504+L515+L528+L542+L559+L573+L582+L591+L603+L615+L627+L639+L651+L663</f>
        <v>2800000</v>
      </c>
      <c r="M666" s="48">
        <v>670000</v>
      </c>
    </row>
    <row r="667" spans="1:42" x14ac:dyDescent="0.6">
      <c r="A667" s="47"/>
      <c r="B667" s="47"/>
      <c r="C667" s="114"/>
      <c r="D667" s="117">
        <f>17147683.31</f>
        <v>17147683.309999999</v>
      </c>
      <c r="E667" s="117">
        <v>4632304.03</v>
      </c>
      <c r="F667" s="117"/>
      <c r="G667" s="117"/>
      <c r="H667" s="53"/>
      <c r="I667" s="141"/>
      <c r="J667" s="141"/>
      <c r="K667" s="52"/>
      <c r="M667" s="165">
        <f>G666-M666</f>
        <v>18516713.773587339</v>
      </c>
    </row>
    <row r="668" spans="1:42" x14ac:dyDescent="0.6">
      <c r="A668" s="293" t="s">
        <v>120</v>
      </c>
      <c r="B668" s="293"/>
      <c r="C668" s="293"/>
      <c r="D668" s="293"/>
      <c r="E668" s="293"/>
      <c r="F668" s="293"/>
      <c r="G668" s="293"/>
      <c r="H668" s="293"/>
      <c r="I668" s="212"/>
      <c r="J668" s="212"/>
      <c r="K668" s="52"/>
      <c r="L668" s="101"/>
      <c r="M668" s="165">
        <f>L666-M666</f>
        <v>2130000</v>
      </c>
    </row>
    <row r="669" spans="1:42" ht="72.5" customHeight="1" x14ac:dyDescent="0.6">
      <c r="A669" s="294"/>
      <c r="B669" s="294"/>
      <c r="C669" s="294"/>
      <c r="D669" s="294"/>
      <c r="E669" s="294"/>
      <c r="F669" s="294"/>
      <c r="G669" s="294"/>
      <c r="H669" s="294"/>
      <c r="I669" s="213"/>
      <c r="J669" s="213"/>
      <c r="K669" s="54"/>
    </row>
    <row r="670" spans="1:42" x14ac:dyDescent="0.6">
      <c r="A670" s="23"/>
      <c r="B670" s="13"/>
      <c r="C670" s="115"/>
      <c r="D670" s="115"/>
      <c r="E670" s="115"/>
      <c r="F670" s="115"/>
      <c r="G670" s="115"/>
      <c r="H670" s="13"/>
      <c r="I670" s="214"/>
      <c r="J670" s="214"/>
      <c r="K670" s="52"/>
    </row>
    <row r="671" spans="1:42" x14ac:dyDescent="0.6">
      <c r="A671" s="293" t="s">
        <v>121</v>
      </c>
      <c r="B671" s="293"/>
      <c r="C671" s="293"/>
      <c r="D671" s="293"/>
      <c r="E671" s="293"/>
      <c r="F671" s="293"/>
      <c r="G671" s="293"/>
      <c r="H671" s="293"/>
      <c r="I671" s="212"/>
      <c r="J671" s="212"/>
      <c r="K671" s="14"/>
      <c r="L671" s="102"/>
    </row>
    <row r="672" spans="1:42" x14ac:dyDescent="0.6">
      <c r="A672" s="297" t="s">
        <v>122</v>
      </c>
      <c r="B672" s="297"/>
      <c r="C672" s="297"/>
      <c r="D672" s="297"/>
      <c r="E672" s="297"/>
      <c r="F672" s="297"/>
      <c r="G672" s="297"/>
      <c r="H672" s="297"/>
      <c r="I672" s="215"/>
      <c r="J672" s="215"/>
    </row>
    <row r="673" spans="1:10" x14ac:dyDescent="0.6">
      <c r="A673" s="297"/>
      <c r="B673" s="297"/>
      <c r="C673" s="297"/>
      <c r="D673" s="297"/>
      <c r="E673" s="297"/>
      <c r="F673" s="297"/>
      <c r="G673" s="297"/>
      <c r="H673" s="297"/>
      <c r="I673" s="215"/>
      <c r="J673" s="215"/>
    </row>
  </sheetData>
  <sheetProtection formatCells="0" formatRows="0" insertRows="0" deleteRows="0"/>
  <mergeCells count="920">
    <mergeCell ref="A582:B582"/>
    <mergeCell ref="A583:J583"/>
    <mergeCell ref="A604:J604"/>
    <mergeCell ref="A584:B584"/>
    <mergeCell ref="C584:H584"/>
    <mergeCell ref="A585:B585"/>
    <mergeCell ref="C585:H585"/>
    <mergeCell ref="A587:B587"/>
    <mergeCell ref="C587:H587"/>
    <mergeCell ref="I587:J587"/>
    <mergeCell ref="A591:B591"/>
    <mergeCell ref="D588:D589"/>
    <mergeCell ref="E7:G7"/>
    <mergeCell ref="E21:G21"/>
    <mergeCell ref="E33:G33"/>
    <mergeCell ref="E46:G46"/>
    <mergeCell ref="E63:G63"/>
    <mergeCell ref="E77:G77"/>
    <mergeCell ref="E94:G94"/>
    <mergeCell ref="E103:G103"/>
    <mergeCell ref="E114:G114"/>
    <mergeCell ref="A542:B542"/>
    <mergeCell ref="C531:H531"/>
    <mergeCell ref="C533:H533"/>
    <mergeCell ref="A219:J219"/>
    <mergeCell ref="E250:G250"/>
    <mergeCell ref="I161:J161"/>
    <mergeCell ref="H224:H225"/>
    <mergeCell ref="I224:I225"/>
    <mergeCell ref="J224:J225"/>
    <mergeCell ref="A392:B392"/>
    <mergeCell ref="C392:H392"/>
    <mergeCell ref="A394:B394"/>
    <mergeCell ref="C394:H394"/>
    <mergeCell ref="E284:G284"/>
    <mergeCell ref="E317:G317"/>
    <mergeCell ref="E331:G331"/>
    <mergeCell ref="E359:G359"/>
    <mergeCell ref="E369:G369"/>
    <mergeCell ref="E384:G384"/>
    <mergeCell ref="E395:G395"/>
    <mergeCell ref="E406:G406"/>
    <mergeCell ref="E417:G417"/>
    <mergeCell ref="E429:G429"/>
    <mergeCell ref="E438:G438"/>
    <mergeCell ref="A663:B663"/>
    <mergeCell ref="A561:B561"/>
    <mergeCell ref="C561:H561"/>
    <mergeCell ref="A562:B562"/>
    <mergeCell ref="C562:H562"/>
    <mergeCell ref="A564:B564"/>
    <mergeCell ref="C564:H564"/>
    <mergeCell ref="I564:J564"/>
    <mergeCell ref="K564:K566"/>
    <mergeCell ref="A565:B565"/>
    <mergeCell ref="C565:C566"/>
    <mergeCell ref="D565:D566"/>
    <mergeCell ref="H565:H566"/>
    <mergeCell ref="I565:I566"/>
    <mergeCell ref="A628:J628"/>
    <mergeCell ref="A608:B608"/>
    <mergeCell ref="E633:G633"/>
    <mergeCell ref="E645:G645"/>
    <mergeCell ref="E657:G657"/>
    <mergeCell ref="C608:H608"/>
    <mergeCell ref="E565:G565"/>
    <mergeCell ref="E579:G579"/>
    <mergeCell ref="E588:G588"/>
    <mergeCell ref="E597:G597"/>
    <mergeCell ref="A446:J446"/>
    <mergeCell ref="A447:B447"/>
    <mergeCell ref="I438:I439"/>
    <mergeCell ref="J438:J439"/>
    <mergeCell ref="I533:J533"/>
    <mergeCell ref="K533:K535"/>
    <mergeCell ref="L533:L535"/>
    <mergeCell ref="H534:H535"/>
    <mergeCell ref="I534:I535"/>
    <mergeCell ref="J534:J535"/>
    <mergeCell ref="C530:H530"/>
    <mergeCell ref="E451:G451"/>
    <mergeCell ref="E465:G465"/>
    <mergeCell ref="E474:G474"/>
    <mergeCell ref="E488:G488"/>
    <mergeCell ref="E501:G501"/>
    <mergeCell ref="E510:G510"/>
    <mergeCell ref="D438:D439"/>
    <mergeCell ref="C484:H484"/>
    <mergeCell ref="C470:H470"/>
    <mergeCell ref="E521:G521"/>
    <mergeCell ref="E534:G534"/>
    <mergeCell ref="A423:B423"/>
    <mergeCell ref="A434:B434"/>
    <mergeCell ref="C434:H434"/>
    <mergeCell ref="A435:B435"/>
    <mergeCell ref="C435:H435"/>
    <mergeCell ref="A437:B437"/>
    <mergeCell ref="C437:H437"/>
    <mergeCell ref="I437:J437"/>
    <mergeCell ref="A445:B445"/>
    <mergeCell ref="K394:K396"/>
    <mergeCell ref="L394:L396"/>
    <mergeCell ref="A395:B395"/>
    <mergeCell ref="C395:C396"/>
    <mergeCell ref="D395:D396"/>
    <mergeCell ref="H395:H396"/>
    <mergeCell ref="I395:I396"/>
    <mergeCell ref="J395:J396"/>
    <mergeCell ref="L405:L407"/>
    <mergeCell ref="A406:B406"/>
    <mergeCell ref="C406:C407"/>
    <mergeCell ref="D406:D407"/>
    <mergeCell ref="H406:H407"/>
    <mergeCell ref="I406:I407"/>
    <mergeCell ref="J406:J407"/>
    <mergeCell ref="A400:B400"/>
    <mergeCell ref="A402:B402"/>
    <mergeCell ref="C402:H402"/>
    <mergeCell ref="A403:B403"/>
    <mergeCell ref="C403:H403"/>
    <mergeCell ref="A405:B405"/>
    <mergeCell ref="C405:H405"/>
    <mergeCell ref="I405:J405"/>
    <mergeCell ref="K405:K407"/>
    <mergeCell ref="K214:K216"/>
    <mergeCell ref="L214:L216"/>
    <mergeCell ref="A28:J28"/>
    <mergeCell ref="A41:J41"/>
    <mergeCell ref="D63:D64"/>
    <mergeCell ref="A63:B63"/>
    <mergeCell ref="H77:H78"/>
    <mergeCell ref="I77:I78"/>
    <mergeCell ref="J77:J78"/>
    <mergeCell ref="I93:J93"/>
    <mergeCell ref="C63:C64"/>
    <mergeCell ref="H63:H64"/>
    <mergeCell ref="I63:I64"/>
    <mergeCell ref="J63:J64"/>
    <mergeCell ref="C120:H120"/>
    <mergeCell ref="A122:B122"/>
    <mergeCell ref="C122:H122"/>
    <mergeCell ref="I122:J122"/>
    <mergeCell ref="E123:G123"/>
    <mergeCell ref="E137:G137"/>
    <mergeCell ref="E153:G153"/>
    <mergeCell ref="E162:G162"/>
    <mergeCell ref="E171:G171"/>
    <mergeCell ref="E189:G189"/>
    <mergeCell ref="A132:J132"/>
    <mergeCell ref="C223:H223"/>
    <mergeCell ref="I223:J223"/>
    <mergeCell ref="A215:B215"/>
    <mergeCell ref="C215:C216"/>
    <mergeCell ref="H215:H216"/>
    <mergeCell ref="I215:I216"/>
    <mergeCell ref="J215:J216"/>
    <mergeCell ref="D215:D216"/>
    <mergeCell ref="E198:G198"/>
    <mergeCell ref="E215:G215"/>
    <mergeCell ref="C152:H152"/>
    <mergeCell ref="I152:J152"/>
    <mergeCell ref="A152:B152"/>
    <mergeCell ref="K264:K266"/>
    <mergeCell ref="L264:L266"/>
    <mergeCell ref="A265:B265"/>
    <mergeCell ref="C265:C266"/>
    <mergeCell ref="D265:D266"/>
    <mergeCell ref="H265:H266"/>
    <mergeCell ref="I265:I266"/>
    <mergeCell ref="J265:J266"/>
    <mergeCell ref="A233:B233"/>
    <mergeCell ref="A234:J234"/>
    <mergeCell ref="E239:G239"/>
    <mergeCell ref="K656:K658"/>
    <mergeCell ref="C246:H246"/>
    <mergeCell ref="A247:B247"/>
    <mergeCell ref="C247:H247"/>
    <mergeCell ref="A249:B249"/>
    <mergeCell ref="I608:J608"/>
    <mergeCell ref="A615:B615"/>
    <mergeCell ref="A616:J616"/>
    <mergeCell ref="D609:D610"/>
    <mergeCell ref="D621:D622"/>
    <mergeCell ref="I632:J632"/>
    <mergeCell ref="I358:J358"/>
    <mergeCell ref="I249:J249"/>
    <mergeCell ref="A433:J433"/>
    <mergeCell ref="C657:C658"/>
    <mergeCell ref="D657:D658"/>
    <mergeCell ref="H657:H658"/>
    <mergeCell ref="I657:I658"/>
    <mergeCell ref="J657:J658"/>
    <mergeCell ref="A656:B656"/>
    <mergeCell ref="C656:H656"/>
    <mergeCell ref="I656:J656"/>
    <mergeCell ref="A391:B391"/>
    <mergeCell ref="C391:H391"/>
    <mergeCell ref="D257:D258"/>
    <mergeCell ref="A363:B363"/>
    <mergeCell ref="A355:B355"/>
    <mergeCell ref="C355:H355"/>
    <mergeCell ref="A356:B356"/>
    <mergeCell ref="C356:H356"/>
    <mergeCell ref="A358:B358"/>
    <mergeCell ref="C358:H358"/>
    <mergeCell ref="A158:B158"/>
    <mergeCell ref="C158:H158"/>
    <mergeCell ref="A159:B159"/>
    <mergeCell ref="C159:H159"/>
    <mergeCell ref="A161:B161"/>
    <mergeCell ref="C161:H161"/>
    <mergeCell ref="A279:B279"/>
    <mergeCell ref="C249:H249"/>
    <mergeCell ref="A210:J210"/>
    <mergeCell ref="I162:I163"/>
    <mergeCell ref="J162:J163"/>
    <mergeCell ref="A246:B246"/>
    <mergeCell ref="A224:B224"/>
    <mergeCell ref="C224:C225"/>
    <mergeCell ref="D224:D225"/>
    <mergeCell ref="E224:G224"/>
    <mergeCell ref="L76:L78"/>
    <mergeCell ref="A77:B77"/>
    <mergeCell ref="C77:C78"/>
    <mergeCell ref="D77:D78"/>
    <mergeCell ref="H123:H124"/>
    <mergeCell ref="I123:I124"/>
    <mergeCell ref="J123:J124"/>
    <mergeCell ref="D123:D124"/>
    <mergeCell ref="A110:B110"/>
    <mergeCell ref="K122:K124"/>
    <mergeCell ref="L122:L124"/>
    <mergeCell ref="A123:B123"/>
    <mergeCell ref="L102:L104"/>
    <mergeCell ref="A103:B103"/>
    <mergeCell ref="C103:C104"/>
    <mergeCell ref="H103:H104"/>
    <mergeCell ref="I103:I104"/>
    <mergeCell ref="J103:J104"/>
    <mergeCell ref="C4:H4"/>
    <mergeCell ref="A6:B6"/>
    <mergeCell ref="C6:H6"/>
    <mergeCell ref="I6:J6"/>
    <mergeCell ref="K136:K138"/>
    <mergeCell ref="L136:L138"/>
    <mergeCell ref="A137:B137"/>
    <mergeCell ref="C137:C138"/>
    <mergeCell ref="H137:H138"/>
    <mergeCell ref="I137:I138"/>
    <mergeCell ref="J137:J138"/>
    <mergeCell ref="C30:H30"/>
    <mergeCell ref="A57:B57"/>
    <mergeCell ref="A58:J58"/>
    <mergeCell ref="A17:B17"/>
    <mergeCell ref="C17:H17"/>
    <mergeCell ref="A18:B18"/>
    <mergeCell ref="C18:H18"/>
    <mergeCell ref="L6:L8"/>
    <mergeCell ref="A15:B15"/>
    <mergeCell ref="L32:L34"/>
    <mergeCell ref="L45:L47"/>
    <mergeCell ref="A119:B119"/>
    <mergeCell ref="K76:K78"/>
    <mergeCell ref="L656:L658"/>
    <mergeCell ref="A1:H1"/>
    <mergeCell ref="A42:B42"/>
    <mergeCell ref="A43:B43"/>
    <mergeCell ref="C43:H43"/>
    <mergeCell ref="C42:H42"/>
    <mergeCell ref="D46:D47"/>
    <mergeCell ref="D33:D34"/>
    <mergeCell ref="D21:D22"/>
    <mergeCell ref="A168:B168"/>
    <mergeCell ref="C168:H168"/>
    <mergeCell ref="I136:J136"/>
    <mergeCell ref="I62:J62"/>
    <mergeCell ref="C62:H62"/>
    <mergeCell ref="D7:D8"/>
    <mergeCell ref="A7:B7"/>
    <mergeCell ref="I21:I22"/>
    <mergeCell ref="J21:J22"/>
    <mergeCell ref="A20:B20"/>
    <mergeCell ref="C20:H20"/>
    <mergeCell ref="I20:J20"/>
    <mergeCell ref="I170:J170"/>
    <mergeCell ref="I198:I199"/>
    <mergeCell ref="J198:J199"/>
    <mergeCell ref="A672:H673"/>
    <mergeCell ref="A32:B32"/>
    <mergeCell ref="C32:H32"/>
    <mergeCell ref="I32:J32"/>
    <mergeCell ref="A59:B59"/>
    <mergeCell ref="C59:H59"/>
    <mergeCell ref="A60:B60"/>
    <mergeCell ref="C60:H60"/>
    <mergeCell ref="A62:B62"/>
    <mergeCell ref="A133:B133"/>
    <mergeCell ref="C133:H133"/>
    <mergeCell ref="A134:B134"/>
    <mergeCell ref="A147:B147"/>
    <mergeCell ref="A148:J148"/>
    <mergeCell ref="A45:B45"/>
    <mergeCell ref="C45:H45"/>
    <mergeCell ref="I45:J45"/>
    <mergeCell ref="A46:B46"/>
    <mergeCell ref="C46:C47"/>
    <mergeCell ref="H46:H47"/>
    <mergeCell ref="I46:I47"/>
    <mergeCell ref="J46:J47"/>
    <mergeCell ref="A170:B170"/>
    <mergeCell ref="C170:H170"/>
    <mergeCell ref="A2:H2"/>
    <mergeCell ref="K32:K34"/>
    <mergeCell ref="K45:K47"/>
    <mergeCell ref="D137:D138"/>
    <mergeCell ref="A167:B167"/>
    <mergeCell ref="C167:H167"/>
    <mergeCell ref="K20:K22"/>
    <mergeCell ref="K6:K8"/>
    <mergeCell ref="C7:C8"/>
    <mergeCell ref="H7:H8"/>
    <mergeCell ref="I7:I8"/>
    <mergeCell ref="J7:J8"/>
    <mergeCell ref="A27:B27"/>
    <mergeCell ref="A3:B3"/>
    <mergeCell ref="C3:H3"/>
    <mergeCell ref="A4:B4"/>
    <mergeCell ref="A33:B33"/>
    <mergeCell ref="C33:C34"/>
    <mergeCell ref="H33:H34"/>
    <mergeCell ref="I33:I34"/>
    <mergeCell ref="J33:J34"/>
    <mergeCell ref="A29:B29"/>
    <mergeCell ref="C29:H29"/>
    <mergeCell ref="A30:B30"/>
    <mergeCell ref="M38:O38"/>
    <mergeCell ref="A671:H671"/>
    <mergeCell ref="L20:L22"/>
    <mergeCell ref="A21:B21"/>
    <mergeCell ref="C21:C22"/>
    <mergeCell ref="H21:H22"/>
    <mergeCell ref="K62:K64"/>
    <mergeCell ref="L62:L64"/>
    <mergeCell ref="A669:H669"/>
    <mergeCell ref="A668:H668"/>
    <mergeCell ref="A71:B71"/>
    <mergeCell ref="A72:J72"/>
    <mergeCell ref="A40:B40"/>
    <mergeCell ref="K170:K172"/>
    <mergeCell ref="C134:H134"/>
    <mergeCell ref="A136:B136"/>
    <mergeCell ref="C136:H136"/>
    <mergeCell ref="L170:L172"/>
    <mergeCell ref="A171:B171"/>
    <mergeCell ref="C171:C172"/>
    <mergeCell ref="H171:H172"/>
    <mergeCell ref="I171:I172"/>
    <mergeCell ref="J171:J172"/>
    <mergeCell ref="K197:K199"/>
    <mergeCell ref="L197:L199"/>
    <mergeCell ref="A198:B198"/>
    <mergeCell ref="C198:C199"/>
    <mergeCell ref="H198:H199"/>
    <mergeCell ref="A280:B280"/>
    <mergeCell ref="C280:H280"/>
    <mergeCell ref="A281:B281"/>
    <mergeCell ref="C281:H281"/>
    <mergeCell ref="A214:B214"/>
    <mergeCell ref="C214:H214"/>
    <mergeCell ref="I214:J214"/>
    <mergeCell ref="A218:B218"/>
    <mergeCell ref="A212:B212"/>
    <mergeCell ref="A211:B211"/>
    <mergeCell ref="C211:H211"/>
    <mergeCell ref="C212:H212"/>
    <mergeCell ref="D198:D199"/>
    <mergeCell ref="A209:B209"/>
    <mergeCell ref="J257:J258"/>
    <mergeCell ref="E265:G265"/>
    <mergeCell ref="A253:B253"/>
    <mergeCell ref="A256:B256"/>
    <mergeCell ref="C256:H256"/>
    <mergeCell ref="I256:J256"/>
    <mergeCell ref="L223:L225"/>
    <mergeCell ref="K249:K251"/>
    <mergeCell ref="L238:L240"/>
    <mergeCell ref="L249:L251"/>
    <mergeCell ref="A250:B250"/>
    <mergeCell ref="C250:C251"/>
    <mergeCell ref="D250:D251"/>
    <mergeCell ref="A238:B238"/>
    <mergeCell ref="C238:H238"/>
    <mergeCell ref="I238:J238"/>
    <mergeCell ref="L152:L154"/>
    <mergeCell ref="A185:B185"/>
    <mergeCell ref="C185:H185"/>
    <mergeCell ref="A186:B186"/>
    <mergeCell ref="C186:H186"/>
    <mergeCell ref="A188:B188"/>
    <mergeCell ref="C188:H188"/>
    <mergeCell ref="I188:J188"/>
    <mergeCell ref="D189:D190"/>
    <mergeCell ref="L188:L190"/>
    <mergeCell ref="A189:B189"/>
    <mergeCell ref="C189:C190"/>
    <mergeCell ref="H189:H190"/>
    <mergeCell ref="I189:I190"/>
    <mergeCell ref="J189:J190"/>
    <mergeCell ref="A153:B153"/>
    <mergeCell ref="C153:C154"/>
    <mergeCell ref="H153:H154"/>
    <mergeCell ref="I153:I154"/>
    <mergeCell ref="J153:J154"/>
    <mergeCell ref="A165:B165"/>
    <mergeCell ref="A156:B156"/>
    <mergeCell ref="K152:K154"/>
    <mergeCell ref="D153:D154"/>
    <mergeCell ref="K93:K95"/>
    <mergeCell ref="A239:B239"/>
    <mergeCell ref="C239:C240"/>
    <mergeCell ref="H239:H240"/>
    <mergeCell ref="I239:I240"/>
    <mergeCell ref="J239:J240"/>
    <mergeCell ref="D239:D240"/>
    <mergeCell ref="H250:H251"/>
    <mergeCell ref="I250:I251"/>
    <mergeCell ref="J250:J251"/>
    <mergeCell ref="K223:K225"/>
    <mergeCell ref="A192:B192"/>
    <mergeCell ref="A193:J193"/>
    <mergeCell ref="A149:B149"/>
    <mergeCell ref="C149:H149"/>
    <mergeCell ref="A150:B150"/>
    <mergeCell ref="C150:H150"/>
    <mergeCell ref="A195:B195"/>
    <mergeCell ref="C195:H195"/>
    <mergeCell ref="A197:B197"/>
    <mergeCell ref="C197:H197"/>
    <mergeCell ref="I197:J197"/>
    <mergeCell ref="A183:B183"/>
    <mergeCell ref="A184:J184"/>
    <mergeCell ref="A254:J254"/>
    <mergeCell ref="K188:K190"/>
    <mergeCell ref="A131:B131"/>
    <mergeCell ref="K102:K104"/>
    <mergeCell ref="C119:H119"/>
    <mergeCell ref="A120:B120"/>
    <mergeCell ref="L93:L95"/>
    <mergeCell ref="A94:B94"/>
    <mergeCell ref="C94:C95"/>
    <mergeCell ref="H94:H95"/>
    <mergeCell ref="I94:I95"/>
    <mergeCell ref="J94:J95"/>
    <mergeCell ref="D94:D95"/>
    <mergeCell ref="C93:H93"/>
    <mergeCell ref="A99:B99"/>
    <mergeCell ref="C99:H99"/>
    <mergeCell ref="A100:B100"/>
    <mergeCell ref="C100:H100"/>
    <mergeCell ref="C110:H110"/>
    <mergeCell ref="A111:B111"/>
    <mergeCell ref="C111:H111"/>
    <mergeCell ref="A113:B113"/>
    <mergeCell ref="C113:H113"/>
    <mergeCell ref="I113:J113"/>
    <mergeCell ref="K275:K277"/>
    <mergeCell ref="L275:L277"/>
    <mergeCell ref="A276:B276"/>
    <mergeCell ref="C276:C277"/>
    <mergeCell ref="H276:H277"/>
    <mergeCell ref="I276:I277"/>
    <mergeCell ref="J276:J277"/>
    <mergeCell ref="A97:B97"/>
    <mergeCell ref="A272:B272"/>
    <mergeCell ref="C272:H272"/>
    <mergeCell ref="A273:B273"/>
    <mergeCell ref="C273:H273"/>
    <mergeCell ref="D276:D277"/>
    <mergeCell ref="A235:B235"/>
    <mergeCell ref="C235:H235"/>
    <mergeCell ref="A236:B236"/>
    <mergeCell ref="C236:H236"/>
    <mergeCell ref="K256:K258"/>
    <mergeCell ref="L256:L258"/>
    <mergeCell ref="A257:B257"/>
    <mergeCell ref="C257:C258"/>
    <mergeCell ref="H257:H258"/>
    <mergeCell ref="I257:I258"/>
    <mergeCell ref="K238:K240"/>
    <mergeCell ref="A314:B314"/>
    <mergeCell ref="C314:H314"/>
    <mergeCell ref="A275:B275"/>
    <mergeCell ref="C275:H275"/>
    <mergeCell ref="I275:J275"/>
    <mergeCell ref="D284:D285"/>
    <mergeCell ref="A316:B316"/>
    <mergeCell ref="C316:H316"/>
    <mergeCell ref="I316:J316"/>
    <mergeCell ref="A283:B283"/>
    <mergeCell ref="C283:H283"/>
    <mergeCell ref="I283:J283"/>
    <mergeCell ref="K283:K285"/>
    <mergeCell ref="L283:L285"/>
    <mergeCell ref="A284:B284"/>
    <mergeCell ref="C284:C285"/>
    <mergeCell ref="H284:H285"/>
    <mergeCell ref="I284:I285"/>
    <mergeCell ref="J284:J285"/>
    <mergeCell ref="K330:K332"/>
    <mergeCell ref="L330:L332"/>
    <mergeCell ref="A331:B331"/>
    <mergeCell ref="C331:C332"/>
    <mergeCell ref="H331:H332"/>
    <mergeCell ref="K316:K318"/>
    <mergeCell ref="L316:L318"/>
    <mergeCell ref="A317:B317"/>
    <mergeCell ref="C317:C318"/>
    <mergeCell ref="H317:H318"/>
    <mergeCell ref="I317:I318"/>
    <mergeCell ref="J317:J318"/>
    <mergeCell ref="D317:D318"/>
    <mergeCell ref="A311:B311"/>
    <mergeCell ref="A312:J312"/>
    <mergeCell ref="A313:B313"/>
    <mergeCell ref="C313:H313"/>
    <mergeCell ref="K358:K360"/>
    <mergeCell ref="L358:L360"/>
    <mergeCell ref="A359:B359"/>
    <mergeCell ref="C359:C360"/>
    <mergeCell ref="D359:D360"/>
    <mergeCell ref="H359:H360"/>
    <mergeCell ref="I359:I360"/>
    <mergeCell ref="J359:J360"/>
    <mergeCell ref="A353:B353"/>
    <mergeCell ref="A354:J354"/>
    <mergeCell ref="K368:K370"/>
    <mergeCell ref="L368:L370"/>
    <mergeCell ref="C464:H464"/>
    <mergeCell ref="I464:J464"/>
    <mergeCell ref="K464:K466"/>
    <mergeCell ref="L464:L466"/>
    <mergeCell ref="C447:H447"/>
    <mergeCell ref="A448:B448"/>
    <mergeCell ref="C448:H448"/>
    <mergeCell ref="A369:B369"/>
    <mergeCell ref="C369:C370"/>
    <mergeCell ref="H369:H370"/>
    <mergeCell ref="I369:I370"/>
    <mergeCell ref="J369:J370"/>
    <mergeCell ref="D417:D418"/>
    <mergeCell ref="I383:J383"/>
    <mergeCell ref="A416:B416"/>
    <mergeCell ref="C416:H416"/>
    <mergeCell ref="I416:J416"/>
    <mergeCell ref="K437:K439"/>
    <mergeCell ref="L437:L439"/>
    <mergeCell ref="A438:B438"/>
    <mergeCell ref="C438:C439"/>
    <mergeCell ref="H438:H439"/>
    <mergeCell ref="A366:B366"/>
    <mergeCell ref="C366:H366"/>
    <mergeCell ref="D369:D370"/>
    <mergeCell ref="A413:B413"/>
    <mergeCell ref="C413:H413"/>
    <mergeCell ref="A414:B414"/>
    <mergeCell ref="C414:H414"/>
    <mergeCell ref="C383:H383"/>
    <mergeCell ref="A378:B378"/>
    <mergeCell ref="A411:B411"/>
    <mergeCell ref="A244:B244"/>
    <mergeCell ref="A245:J245"/>
    <mergeCell ref="A260:B260"/>
    <mergeCell ref="A379:J379"/>
    <mergeCell ref="A327:B327"/>
    <mergeCell ref="C327:H327"/>
    <mergeCell ref="A328:B328"/>
    <mergeCell ref="C328:H328"/>
    <mergeCell ref="A368:B368"/>
    <mergeCell ref="C368:H368"/>
    <mergeCell ref="I368:J368"/>
    <mergeCell ref="A330:B330"/>
    <mergeCell ref="C330:H330"/>
    <mergeCell ref="I330:J330"/>
    <mergeCell ref="D331:D332"/>
    <mergeCell ref="C262:H262"/>
    <mergeCell ref="A264:B264"/>
    <mergeCell ref="C264:H264"/>
    <mergeCell ref="I264:J264"/>
    <mergeCell ref="A270:B270"/>
    <mergeCell ref="A271:J271"/>
    <mergeCell ref="A325:B325"/>
    <mergeCell ref="A326:J326"/>
    <mergeCell ref="A365:B365"/>
    <mergeCell ref="L416:L418"/>
    <mergeCell ref="A417:B417"/>
    <mergeCell ref="C417:C418"/>
    <mergeCell ref="H417:H418"/>
    <mergeCell ref="I417:I418"/>
    <mergeCell ref="J417:J418"/>
    <mergeCell ref="I331:I332"/>
    <mergeCell ref="J331:J332"/>
    <mergeCell ref="K383:K385"/>
    <mergeCell ref="L383:L385"/>
    <mergeCell ref="A384:B384"/>
    <mergeCell ref="C384:C385"/>
    <mergeCell ref="D384:D385"/>
    <mergeCell ref="C380:H380"/>
    <mergeCell ref="A381:B381"/>
    <mergeCell ref="C381:H381"/>
    <mergeCell ref="A383:B383"/>
    <mergeCell ref="I394:J394"/>
    <mergeCell ref="A389:B389"/>
    <mergeCell ref="H384:H385"/>
    <mergeCell ref="I384:I385"/>
    <mergeCell ref="J384:J385"/>
    <mergeCell ref="A380:B380"/>
    <mergeCell ref="C365:H365"/>
    <mergeCell ref="K473:K475"/>
    <mergeCell ref="L473:L475"/>
    <mergeCell ref="A474:B474"/>
    <mergeCell ref="C474:C475"/>
    <mergeCell ref="H474:H475"/>
    <mergeCell ref="I474:I475"/>
    <mergeCell ref="J474:J475"/>
    <mergeCell ref="A459:B459"/>
    <mergeCell ref="A460:J460"/>
    <mergeCell ref="A470:B470"/>
    <mergeCell ref="I465:I466"/>
    <mergeCell ref="J465:J466"/>
    <mergeCell ref="A468:B468"/>
    <mergeCell ref="A469:J469"/>
    <mergeCell ref="A461:B461"/>
    <mergeCell ref="C461:H461"/>
    <mergeCell ref="A462:B462"/>
    <mergeCell ref="C462:H462"/>
    <mergeCell ref="A450:B450"/>
    <mergeCell ref="C450:H450"/>
    <mergeCell ref="I450:J450"/>
    <mergeCell ref="K450:K452"/>
    <mergeCell ref="L450:L452"/>
    <mergeCell ref="A451:B451"/>
    <mergeCell ref="C451:C452"/>
    <mergeCell ref="H451:H452"/>
    <mergeCell ref="I451:I452"/>
    <mergeCell ref="J451:J452"/>
    <mergeCell ref="D451:D452"/>
    <mergeCell ref="A471:B471"/>
    <mergeCell ref="C471:H471"/>
    <mergeCell ref="D474:D475"/>
    <mergeCell ref="A464:B464"/>
    <mergeCell ref="K500:K502"/>
    <mergeCell ref="L500:L502"/>
    <mergeCell ref="A501:B501"/>
    <mergeCell ref="C501:C502"/>
    <mergeCell ref="H501:H502"/>
    <mergeCell ref="I501:I502"/>
    <mergeCell ref="J501:J502"/>
    <mergeCell ref="D501:D502"/>
    <mergeCell ref="A465:B465"/>
    <mergeCell ref="C465:C466"/>
    <mergeCell ref="D465:D466"/>
    <mergeCell ref="A481:B481"/>
    <mergeCell ref="A482:J482"/>
    <mergeCell ref="A473:B473"/>
    <mergeCell ref="C473:H473"/>
    <mergeCell ref="I473:J473"/>
    <mergeCell ref="A487:B487"/>
    <mergeCell ref="K487:K489"/>
    <mergeCell ref="L487:L489"/>
    <mergeCell ref="A488:B488"/>
    <mergeCell ref="C488:C489"/>
    <mergeCell ref="H488:H489"/>
    <mergeCell ref="I488:I489"/>
    <mergeCell ref="J488:J489"/>
    <mergeCell ref="A483:J483"/>
    <mergeCell ref="A484:B484"/>
    <mergeCell ref="H521:H522"/>
    <mergeCell ref="I521:I522"/>
    <mergeCell ref="J521:J522"/>
    <mergeCell ref="A504:B504"/>
    <mergeCell ref="A505:J505"/>
    <mergeCell ref="A517:B517"/>
    <mergeCell ref="C517:H517"/>
    <mergeCell ref="A518:B518"/>
    <mergeCell ref="C518:H518"/>
    <mergeCell ref="D521:D522"/>
    <mergeCell ref="A485:B485"/>
    <mergeCell ref="C485:H485"/>
    <mergeCell ref="D488:D489"/>
    <mergeCell ref="I487:J487"/>
    <mergeCell ref="C487:H487"/>
    <mergeCell ref="A528:B528"/>
    <mergeCell ref="A495:B495"/>
    <mergeCell ref="A496:J496"/>
    <mergeCell ref="A497:B497"/>
    <mergeCell ref="C497:H497"/>
    <mergeCell ref="A498:B498"/>
    <mergeCell ref="C498:H498"/>
    <mergeCell ref="A500:B500"/>
    <mergeCell ref="C500:H500"/>
    <mergeCell ref="I500:J500"/>
    <mergeCell ref="A506:B506"/>
    <mergeCell ref="C506:H506"/>
    <mergeCell ref="A507:B507"/>
    <mergeCell ref="C507:H507"/>
    <mergeCell ref="A509:B509"/>
    <mergeCell ref="C509:H509"/>
    <mergeCell ref="A515:B515"/>
    <mergeCell ref="A516:J516"/>
    <mergeCell ref="A520:B520"/>
    <mergeCell ref="C520:H520"/>
    <mergeCell ref="I520:J520"/>
    <mergeCell ref="K578:K580"/>
    <mergeCell ref="L578:L580"/>
    <mergeCell ref="A579:B579"/>
    <mergeCell ref="C579:C580"/>
    <mergeCell ref="H579:H580"/>
    <mergeCell ref="I579:I580"/>
    <mergeCell ref="J579:J580"/>
    <mergeCell ref="D579:D580"/>
    <mergeCell ref="J549:J550"/>
    <mergeCell ref="K548:K550"/>
    <mergeCell ref="L548:L550"/>
    <mergeCell ref="I549:I550"/>
    <mergeCell ref="J565:J566"/>
    <mergeCell ref="L564:L566"/>
    <mergeCell ref="E549:G549"/>
    <mergeCell ref="I548:J548"/>
    <mergeCell ref="C575:H575"/>
    <mergeCell ref="A576:B576"/>
    <mergeCell ref="C576:H576"/>
    <mergeCell ref="A578:B578"/>
    <mergeCell ref="C578:H578"/>
    <mergeCell ref="A548:B548"/>
    <mergeCell ref="C548:H548"/>
    <mergeCell ref="A549:B549"/>
    <mergeCell ref="C549:C550"/>
    <mergeCell ref="H549:H550"/>
    <mergeCell ref="D549:D550"/>
    <mergeCell ref="A573:B573"/>
    <mergeCell ref="A559:B559"/>
    <mergeCell ref="A530:B530"/>
    <mergeCell ref="A531:B531"/>
    <mergeCell ref="A533:B533"/>
    <mergeCell ref="I578:J578"/>
    <mergeCell ref="L509:L511"/>
    <mergeCell ref="A510:B510"/>
    <mergeCell ref="C510:C511"/>
    <mergeCell ref="H510:H511"/>
    <mergeCell ref="I510:I511"/>
    <mergeCell ref="J510:J511"/>
    <mergeCell ref="D510:D511"/>
    <mergeCell ref="A534:B534"/>
    <mergeCell ref="C534:C535"/>
    <mergeCell ref="D534:D535"/>
    <mergeCell ref="K520:K522"/>
    <mergeCell ref="L520:L522"/>
    <mergeCell ref="A521:B521"/>
    <mergeCell ref="C521:C522"/>
    <mergeCell ref="A545:B545"/>
    <mergeCell ref="C545:H545"/>
    <mergeCell ref="A546:B546"/>
    <mergeCell ref="C546:H546"/>
    <mergeCell ref="A575:B575"/>
    <mergeCell ref="A597:B597"/>
    <mergeCell ref="C597:C598"/>
    <mergeCell ref="H597:H598"/>
    <mergeCell ref="I597:I598"/>
    <mergeCell ref="J597:J598"/>
    <mergeCell ref="D597:D598"/>
    <mergeCell ref="A603:B603"/>
    <mergeCell ref="K587:K589"/>
    <mergeCell ref="L587:L589"/>
    <mergeCell ref="A588:B588"/>
    <mergeCell ref="C588:C589"/>
    <mergeCell ref="H588:H589"/>
    <mergeCell ref="I588:I589"/>
    <mergeCell ref="J588:J589"/>
    <mergeCell ref="A592:J592"/>
    <mergeCell ref="L113:L115"/>
    <mergeCell ref="A593:B593"/>
    <mergeCell ref="C593:H593"/>
    <mergeCell ref="A594:B594"/>
    <mergeCell ref="C594:H594"/>
    <mergeCell ref="I509:J509"/>
    <mergeCell ref="K509:K511"/>
    <mergeCell ref="A629:B629"/>
    <mergeCell ref="C629:H629"/>
    <mergeCell ref="I620:J620"/>
    <mergeCell ref="A596:B596"/>
    <mergeCell ref="C596:H596"/>
    <mergeCell ref="I596:J596"/>
    <mergeCell ref="K608:K610"/>
    <mergeCell ref="L608:L610"/>
    <mergeCell ref="I609:I610"/>
    <mergeCell ref="J609:J610"/>
    <mergeCell ref="K620:K622"/>
    <mergeCell ref="L620:L622"/>
    <mergeCell ref="I621:I622"/>
    <mergeCell ref="J621:J622"/>
    <mergeCell ref="L161:L163"/>
    <mergeCell ref="K596:K598"/>
    <mergeCell ref="L596:L598"/>
    <mergeCell ref="A630:B630"/>
    <mergeCell ref="C630:H630"/>
    <mergeCell ref="A632:B632"/>
    <mergeCell ref="C632:H632"/>
    <mergeCell ref="A605:B605"/>
    <mergeCell ref="C605:H605"/>
    <mergeCell ref="A606:B606"/>
    <mergeCell ref="C606:H606"/>
    <mergeCell ref="A620:B620"/>
    <mergeCell ref="C620:H620"/>
    <mergeCell ref="A627:B627"/>
    <mergeCell ref="A609:B609"/>
    <mergeCell ref="C609:C610"/>
    <mergeCell ref="H609:H610"/>
    <mergeCell ref="A621:B621"/>
    <mergeCell ref="C621:C622"/>
    <mergeCell ref="H621:H622"/>
    <mergeCell ref="A617:B617"/>
    <mergeCell ref="C617:H617"/>
    <mergeCell ref="A618:B618"/>
    <mergeCell ref="C618:H618"/>
    <mergeCell ref="E609:G609"/>
    <mergeCell ref="E621:G621"/>
    <mergeCell ref="A633:B633"/>
    <mergeCell ref="C633:C634"/>
    <mergeCell ref="H633:H634"/>
    <mergeCell ref="I633:I634"/>
    <mergeCell ref="J633:J634"/>
    <mergeCell ref="D633:D634"/>
    <mergeCell ref="K644:K646"/>
    <mergeCell ref="L644:L646"/>
    <mergeCell ref="A645:B645"/>
    <mergeCell ref="C645:C646"/>
    <mergeCell ref="H645:H646"/>
    <mergeCell ref="I645:I646"/>
    <mergeCell ref="J645:J646"/>
    <mergeCell ref="A639:B639"/>
    <mergeCell ref="A640:J640"/>
    <mergeCell ref="A641:B641"/>
    <mergeCell ref="C641:H641"/>
    <mergeCell ref="A642:B642"/>
    <mergeCell ref="C642:H642"/>
    <mergeCell ref="D645:D646"/>
    <mergeCell ref="A644:B644"/>
    <mergeCell ref="C644:H644"/>
    <mergeCell ref="K113:K115"/>
    <mergeCell ref="A114:B114"/>
    <mergeCell ref="C114:C115"/>
    <mergeCell ref="A425:B425"/>
    <mergeCell ref="C425:H425"/>
    <mergeCell ref="A426:B426"/>
    <mergeCell ref="C426:H426"/>
    <mergeCell ref="D114:D115"/>
    <mergeCell ref="H114:H115"/>
    <mergeCell ref="I114:I115"/>
    <mergeCell ref="J114:J115"/>
    <mergeCell ref="A117:B117"/>
    <mergeCell ref="K161:K163"/>
    <mergeCell ref="A162:B162"/>
    <mergeCell ref="C162:C163"/>
    <mergeCell ref="D162:D163"/>
    <mergeCell ref="H162:H163"/>
    <mergeCell ref="A221:B221"/>
    <mergeCell ref="C221:H221"/>
    <mergeCell ref="A223:B223"/>
    <mergeCell ref="K416:K418"/>
    <mergeCell ref="A261:B261"/>
    <mergeCell ref="C261:H261"/>
    <mergeCell ref="A262:B262"/>
    <mergeCell ref="A666:B666"/>
    <mergeCell ref="A432:B432"/>
    <mergeCell ref="A428:B428"/>
    <mergeCell ref="C428:H428"/>
    <mergeCell ref="I428:J428"/>
    <mergeCell ref="K428:K430"/>
    <mergeCell ref="L428:L430"/>
    <mergeCell ref="A429:B429"/>
    <mergeCell ref="C429:C430"/>
    <mergeCell ref="H429:H430"/>
    <mergeCell ref="I429:I430"/>
    <mergeCell ref="J429:J430"/>
    <mergeCell ref="D429:D430"/>
    <mergeCell ref="A654:B654"/>
    <mergeCell ref="C654:H654"/>
    <mergeCell ref="A657:B657"/>
    <mergeCell ref="H465:H466"/>
    <mergeCell ref="I644:J644"/>
    <mergeCell ref="A651:B651"/>
    <mergeCell ref="A652:J652"/>
    <mergeCell ref="A653:B653"/>
    <mergeCell ref="C653:H653"/>
    <mergeCell ref="K632:K634"/>
    <mergeCell ref="L632:L634"/>
    <mergeCell ref="A73:B73"/>
    <mergeCell ref="C73:H73"/>
    <mergeCell ref="A74:B74"/>
    <mergeCell ref="C74:H74"/>
    <mergeCell ref="A76:B76"/>
    <mergeCell ref="C76:H76"/>
    <mergeCell ref="I76:J76"/>
    <mergeCell ref="A88:B88"/>
    <mergeCell ref="A220:B220"/>
    <mergeCell ref="C220:H220"/>
    <mergeCell ref="A90:B90"/>
    <mergeCell ref="C90:H90"/>
    <mergeCell ref="A91:B91"/>
    <mergeCell ref="C91:H91"/>
    <mergeCell ref="A93:B93"/>
    <mergeCell ref="C123:C124"/>
    <mergeCell ref="A108:B108"/>
    <mergeCell ref="A102:B102"/>
    <mergeCell ref="C102:H102"/>
    <mergeCell ref="I102:J102"/>
    <mergeCell ref="D103:D104"/>
    <mergeCell ref="D171:D172"/>
    <mergeCell ref="A194:B194"/>
    <mergeCell ref="C194:H194"/>
  </mergeCells>
  <dataValidations disablePrompts="1" count="1">
    <dataValidation type="list" allowBlank="1" showInputMessage="1" showErrorMessage="1" sqref="AP47:AP48 AP225:AP230 AP78:AP83 AP104:AP105 AP661:AP662 AP646:AP648 AP634:AP636 AP610:AP612 AP622:AP624 AP598:AP600 AP511:AP513 AP589:AP590 AP550:AP552 AP580:AP581 AP522:AP523 AP502:AP503 AP489:AP490 AP475:AP476 AP452:AP453 AP240:AP241 AP439:AP440 AP418:AP419 AP332:AP333 AP370:AP371 AP277 AP95 AP190 AP258 AP154 AP216:AP217 AP285:AP286 AP199:AP200 AP172:AP173 AP138:AP139 AP8:AP9 AP22:AP23 AP64:AP65 AP34:AP35 AP115 AP266:AP267 AP318:AP319 AP385:AP386 AP396:AP397 AP407:AP408 AP466 AP124:AP130 AP566:AP568 AP535:AP537" xr:uid="{00000000-0002-0000-0000-000000000000}">
      <formula1>$AP$47:$AP$48</formula1>
    </dataValidation>
  </dataValidations>
  <pageMargins left="0.51181102362204722" right="0.51181102362204722" top="0.78740157480314965" bottom="0.78740157480314965" header="0.31496062992125984" footer="0.31496062992125984"/>
  <pageSetup paperSize="9" orientation="landscape" r:id="rId1"/>
  <ignoredErrors>
    <ignoredError sqref="E68 F53:F56"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3592-B8E5-40CC-9B83-2B8757472634}">
  <dimension ref="A1"/>
  <sheetViews>
    <sheetView workbookViewId="0">
      <selection activeCell="D20" sqref="D20"/>
    </sheetView>
  </sheetViews>
  <sheetFormatPr defaultRowHeight="14.5" x14ac:dyDescent="0.3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Anexo 4.Quadro Descritivo.</vt:lpstr>
      <vt:lpstr>Planilha1</vt:lpstr>
      <vt:lpstr>'Anexo 4.Quadro Descritivo.'!Area_de_impressao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Flavia Rios Costa</dc:creator>
  <cp:keywords/>
  <dc:description/>
  <cp:lastModifiedBy>Livian Fernandes Hott</cp:lastModifiedBy>
  <cp:revision/>
  <cp:lastPrinted>2024-04-04T17:57:00Z</cp:lastPrinted>
  <dcterms:created xsi:type="dcterms:W3CDTF">2022-06-22T03:22:38Z</dcterms:created>
  <dcterms:modified xsi:type="dcterms:W3CDTF">2024-06-19T21:40:53Z</dcterms:modified>
  <cp:category/>
  <cp:contentStatus/>
</cp:coreProperties>
</file>