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sldx" ContentType="application/vnd.openxmlformats-officedocument.presentationml.slide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192.168.10.10\financeiro\2024\Programação 2024\Reprogramação Orçamentária\"/>
    </mc:Choice>
  </mc:AlternateContent>
  <xr:revisionPtr revIDLastSave="0" documentId="13_ncr:1_{3AF134FF-ABEA-4D5D-9A6C-8BF2FA422CFC}" xr6:coauthVersionLast="47" xr6:coauthVersionMax="47" xr10:uidLastSave="{00000000-0000-0000-0000-000000000000}"/>
  <bookViews>
    <workbookView xWindow="-110" yWindow="-110" windowWidth="19420" windowHeight="10300" tabRatio="893" firstSheet="4" activeTab="8" xr2:uid="{00000000-000D-0000-FFFF-FFFF00000000}"/>
  </bookViews>
  <sheets>
    <sheet name="Diretrizes - Resumo" sheetId="40" state="hidden" r:id="rId1"/>
    <sheet name="Matriz de Obj. Estrat." sheetId="41" state="hidden" r:id="rId2"/>
    <sheet name="Mapa Estratégico e ODS" sheetId="36" r:id="rId3"/>
    <sheet name="Indicadores e Metas" sheetId="39" state="hidden" r:id="rId4"/>
    <sheet name="Quadro Geral" sheetId="15" r:id="rId5"/>
    <sheet name="Anexo 1. Fontes e Aplicaçõe (2)" sheetId="42" state="hidden" r:id="rId6"/>
    <sheet name="Anexo 1. Fontes e Aplicações" sheetId="8" r:id="rId7"/>
    <sheet name="Anexo 2. Limites Estratégicos" sheetId="23" r:id="rId8"/>
    <sheet name="Anexo 3. Elemento de Despesas" sheetId="18" r:id="rId9"/>
    <sheet name="Validação de dados" sheetId="31" state="hidden" r:id="rId10"/>
  </sheets>
  <definedNames>
    <definedName name="__xlfn_IFERROR">#N/A</definedName>
    <definedName name="_xlnm._FilterDatabase" localSheetId="8" hidden="1">'Anexo 3. Elemento de Despesas'!$A$5:$XEY$58</definedName>
    <definedName name="_xlnm._FilterDatabase" localSheetId="0" hidden="1">'Diretrizes - Resumo'!$A$3:$T$30</definedName>
    <definedName name="_xlnm._FilterDatabase" localSheetId="3" hidden="1">'Indicadores e Metas'!$A$28:$P$100</definedName>
    <definedName name="_xlnm._FilterDatabase" localSheetId="4" hidden="1">'Quadro Geral'!$A$6:$O$59</definedName>
    <definedName name="A" localSheetId="0">#REF!</definedName>
    <definedName name="A" localSheetId="3">#REF!</definedName>
    <definedName name="A" localSheetId="1">#REF!</definedName>
    <definedName name="A" localSheetId="4">#REF!</definedName>
    <definedName name="A">#REF!</definedName>
    <definedName name="Anexo" localSheetId="3">#REF!</definedName>
    <definedName name="Anexo" localSheetId="1">#REF!</definedName>
    <definedName name="Anexo">#REF!</definedName>
    <definedName name="Anexo_1.4.4" localSheetId="3">#REF!</definedName>
    <definedName name="Anexo_1.4.4" localSheetId="1">#REF!</definedName>
    <definedName name="Anexo_1.4.4">#REF!</definedName>
    <definedName name="ar">#N/A</definedName>
    <definedName name="_xlnm.Print_Area" localSheetId="5">'Anexo 1. Fontes e Aplicaçõe (2)'!$A$1:$F$34</definedName>
    <definedName name="_xlnm.Print_Area" localSheetId="6">'Anexo 1. Fontes e Aplicações'!$A$1:$H$34</definedName>
    <definedName name="_xlnm.Print_Area" localSheetId="7">'Anexo 2. Limites Estratégicos'!$A$1:$F$80</definedName>
    <definedName name="_xlnm.Print_Area" localSheetId="3">'Indicadores e Metas'!$A$1:$F$104</definedName>
    <definedName name="_xlnm.Print_Area" localSheetId="2">'Mapa Estratégico e ODS'!$A$1:$I$2</definedName>
    <definedName name="_xlnm.Print_Area" localSheetId="1">'Matriz de Obj. Estrat.'!$A$1:$K$19</definedName>
    <definedName name="_xlnm.Print_Area" localSheetId="4">'Quadro Geral'!$A$1:$O$58</definedName>
    <definedName name="asas" localSheetId="3">#REF!</definedName>
    <definedName name="asas" localSheetId="1">#REF!</definedName>
    <definedName name="asas">#REF!</definedName>
    <definedName name="ass" localSheetId="3">#REF!</definedName>
    <definedName name="ass" localSheetId="1">#REF!</definedName>
    <definedName name="ass">#REF!</definedName>
    <definedName name="_xlnm.Database" localSheetId="0">#REF!</definedName>
    <definedName name="_xlnm.Database" localSheetId="3">#REF!</definedName>
    <definedName name="_xlnm.Database" localSheetId="1">#REF!</definedName>
    <definedName name="_xlnm.Database" localSheetId="4">#REF!</definedName>
    <definedName name="_xlnm.Database">#REF!</definedName>
    <definedName name="banco_de_dados_sym" localSheetId="0">#REF!</definedName>
    <definedName name="banco_de_dados_sym" localSheetId="3">#REF!</definedName>
    <definedName name="banco_de_dados_sym" localSheetId="1">#REF!</definedName>
    <definedName name="banco_de_dados_sym">#REF!</definedName>
    <definedName name="Copia" localSheetId="3">#REF!</definedName>
    <definedName name="Copia" localSheetId="1">#REF!</definedName>
    <definedName name="Copia">#REF!</definedName>
    <definedName name="copia2" localSheetId="3">#REF!</definedName>
    <definedName name="copia2" localSheetId="1">#REF!</definedName>
    <definedName name="copia2">#REF!</definedName>
    <definedName name="_xlnm.Criteria" localSheetId="3">#REF!</definedName>
    <definedName name="_xlnm.Criteria" localSheetId="1">#REF!</definedName>
    <definedName name="_xlnm.Criteria">#REF!</definedName>
    <definedName name="dados" localSheetId="3">#REF!</definedName>
    <definedName name="dados" localSheetId="1">#REF!</definedName>
    <definedName name="dados">#REF!</definedName>
    <definedName name="Database" localSheetId="1">#REF!</definedName>
    <definedName name="Database">#REF!</definedName>
    <definedName name="DEZEMBRO" localSheetId="1">#REF!</definedName>
    <definedName name="DEZEMBRO">#REF!</definedName>
    <definedName name="huala" localSheetId="3">#REF!</definedName>
    <definedName name="huala" localSheetId="1">#REF!</definedName>
    <definedName name="huala">#REF!</definedName>
    <definedName name="kk" localSheetId="3">#REF!</definedName>
    <definedName name="kk" localSheetId="1">#REF!</definedName>
    <definedName name="kk">#REF!</definedName>
    <definedName name="Percentual5" localSheetId="0">#REF!</definedName>
    <definedName name="Percentual5">#REF!</definedName>
    <definedName name="PJ2anos" localSheetId="0">#REF!,#REF!</definedName>
    <definedName name="PJ2anos">#REF!,#REF!</definedName>
    <definedName name="PREs">#N/A</definedName>
    <definedName name="Presid">#N/A</definedName>
    <definedName name="X" localSheetId="1">#REF!</definedName>
    <definedName name="X">#REF!</definedName>
    <definedName name="XFE1048575" localSheetId="0">#REF!</definedName>
    <definedName name="XFE1048575" localSheetId="3">#REF!</definedName>
    <definedName name="XFE1048575" localSheetId="1">#REF!</definedName>
    <definedName name="XFE1048575">#REF!</definedName>
    <definedName name="XFe1048576" localSheetId="0">#REF!</definedName>
    <definedName name="XFe1048576" localSheetId="3">#REF!</definedName>
    <definedName name="XFe1048576" localSheetId="1">#REF!</definedName>
    <definedName name="XFe1048576">#REF!</definedName>
  </definedNames>
  <calcPr calcId="191029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8" l="1"/>
  <c r="L47" i="15"/>
  <c r="I57" i="15"/>
  <c r="N56" i="18" l="1"/>
  <c r="M56" i="18"/>
  <c r="L56" i="18"/>
  <c r="O49" i="18"/>
  <c r="Q49" i="18" s="1"/>
  <c r="O48" i="18"/>
  <c r="Q48" i="18" s="1"/>
  <c r="P56" i="18"/>
  <c r="B44" i="8" l="1"/>
  <c r="E22" i="23"/>
  <c r="E15" i="23"/>
  <c r="E9" i="23"/>
  <c r="D15" i="23"/>
  <c r="D9" i="23"/>
  <c r="D21" i="8" l="1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6" i="18"/>
  <c r="A55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6" i="18" l="1"/>
  <c r="G20" i="8" l="1"/>
  <c r="G23" i="8"/>
  <c r="F19" i="8"/>
  <c r="E18" i="8"/>
  <c r="F18" i="8"/>
  <c r="J18" i="8" s="1"/>
  <c r="F12" i="8"/>
  <c r="F11" i="8"/>
  <c r="F14" i="8"/>
  <c r="F15" i="8"/>
  <c r="F16" i="8"/>
  <c r="E13" i="8"/>
  <c r="E10" i="8"/>
  <c r="F17" i="8"/>
  <c r="E9" i="8" l="1"/>
  <c r="E8" i="8" s="1"/>
  <c r="E7" i="8"/>
  <c r="D13" i="8" l="1"/>
  <c r="D10" i="8"/>
  <c r="D9" i="8" s="1"/>
  <c r="D8" i="8" s="1"/>
  <c r="D7" i="8" s="1"/>
  <c r="D24" i="8" s="1"/>
  <c r="B49" i="42" l="1"/>
  <c r="E41" i="42"/>
  <c r="C40" i="42"/>
  <c r="E32" i="42"/>
  <c r="F32" i="42" s="1"/>
  <c r="E31" i="42"/>
  <c r="F31" i="42" s="1"/>
  <c r="F30" i="42"/>
  <c r="E30" i="42"/>
  <c r="E23" i="42"/>
  <c r="F23" i="42" s="1"/>
  <c r="H22" i="42"/>
  <c r="E22" i="42"/>
  <c r="F22" i="42" s="1"/>
  <c r="D21" i="42"/>
  <c r="C44" i="42" s="1"/>
  <c r="C21" i="42"/>
  <c r="B40" i="42" s="1"/>
  <c r="E20" i="42"/>
  <c r="F20" i="42" s="1"/>
  <c r="H19" i="42"/>
  <c r="E19" i="42"/>
  <c r="F19" i="42" s="1"/>
  <c r="F18" i="42"/>
  <c r="E18" i="42"/>
  <c r="H17" i="42"/>
  <c r="F17" i="42"/>
  <c r="E17" i="42"/>
  <c r="H16" i="42"/>
  <c r="F16" i="42"/>
  <c r="E16" i="42"/>
  <c r="H15" i="42"/>
  <c r="F15" i="42"/>
  <c r="E15" i="42"/>
  <c r="H14" i="42"/>
  <c r="F14" i="42"/>
  <c r="E14" i="42"/>
  <c r="D13" i="42"/>
  <c r="E13" i="42" s="1"/>
  <c r="F13" i="42" s="1"/>
  <c r="C13" i="42"/>
  <c r="H12" i="42"/>
  <c r="F12" i="42"/>
  <c r="E12" i="42"/>
  <c r="H11" i="42"/>
  <c r="E11" i="42"/>
  <c r="F11" i="42" s="1"/>
  <c r="H10" i="42"/>
  <c r="D10" i="42"/>
  <c r="E10" i="42" s="1"/>
  <c r="F10" i="42" s="1"/>
  <c r="C10" i="42"/>
  <c r="C9" i="42"/>
  <c r="C8" i="42" s="1"/>
  <c r="C7" i="42" s="1"/>
  <c r="A1" i="42"/>
  <c r="F6" i="23"/>
  <c r="D40" i="42" l="1"/>
  <c r="B39" i="42"/>
  <c r="B41" i="42" s="1"/>
  <c r="C24" i="42"/>
  <c r="C34" i="42" s="1"/>
  <c r="D9" i="42"/>
  <c r="H13" i="42"/>
  <c r="E21" i="42"/>
  <c r="F21" i="42" s="1"/>
  <c r="D8" i="42" l="1"/>
  <c r="H9" i="42"/>
  <c r="E9" i="42"/>
  <c r="F9" i="42" s="1"/>
  <c r="H8" i="42" l="1"/>
  <c r="E8" i="42"/>
  <c r="F8" i="42" s="1"/>
  <c r="D7" i="42"/>
  <c r="B44" i="42" l="1"/>
  <c r="C39" i="42"/>
  <c r="D24" i="42"/>
  <c r="E7" i="42"/>
  <c r="F7" i="42" s="1"/>
  <c r="D44" i="42" l="1"/>
  <c r="G22" i="42"/>
  <c r="G19" i="42"/>
  <c r="G10" i="42"/>
  <c r="G24" i="42"/>
  <c r="G18" i="42"/>
  <c r="G15" i="42"/>
  <c r="E24" i="42"/>
  <c r="G12" i="42"/>
  <c r="G17" i="42"/>
  <c r="G14" i="42"/>
  <c r="G23" i="42"/>
  <c r="G20" i="42"/>
  <c r="G16" i="42"/>
  <c r="G13" i="42"/>
  <c r="G11" i="42"/>
  <c r="G21" i="42"/>
  <c r="G9" i="42"/>
  <c r="G8" i="42"/>
  <c r="D39" i="42"/>
  <c r="C41" i="42"/>
  <c r="D41" i="42" s="1"/>
  <c r="G7" i="42"/>
  <c r="F24" i="42" l="1"/>
  <c r="C3" i="41"/>
  <c r="C4" i="41" l="1"/>
  <c r="G56" i="18"/>
  <c r="H56" i="18"/>
  <c r="I56" i="18"/>
  <c r="J56" i="18"/>
  <c r="O7" i="18"/>
  <c r="Q7" i="18" s="1"/>
  <c r="O8" i="18"/>
  <c r="Q8" i="18" s="1"/>
  <c r="O9" i="18"/>
  <c r="Q9" i="18" s="1"/>
  <c r="O10" i="18"/>
  <c r="Q10" i="18" s="1"/>
  <c r="O11" i="18"/>
  <c r="Q11" i="18" s="1"/>
  <c r="O12" i="18"/>
  <c r="Q12" i="18" s="1"/>
  <c r="O13" i="18"/>
  <c r="Q13" i="18" s="1"/>
  <c r="O14" i="18"/>
  <c r="Q14" i="18" s="1"/>
  <c r="O15" i="18"/>
  <c r="Q15" i="18" s="1"/>
  <c r="O16" i="18"/>
  <c r="Q16" i="18" s="1"/>
  <c r="O17" i="18"/>
  <c r="Q17" i="18" s="1"/>
  <c r="O18" i="18"/>
  <c r="Q18" i="18" s="1"/>
  <c r="O19" i="18"/>
  <c r="Q19" i="18" s="1"/>
  <c r="O27" i="18"/>
  <c r="Q27" i="18" s="1"/>
  <c r="O45" i="18"/>
  <c r="Q45" i="18" s="1"/>
  <c r="G11" i="8"/>
  <c r="H11" i="8" s="1"/>
  <c r="G12" i="8"/>
  <c r="H12" i="8" s="1"/>
  <c r="G14" i="8"/>
  <c r="H14" i="8" s="1"/>
  <c r="G15" i="8"/>
  <c r="H15" i="8" s="1"/>
  <c r="G16" i="8"/>
  <c r="H16" i="8" s="1"/>
  <c r="G17" i="8"/>
  <c r="H17" i="8" s="1"/>
  <c r="G18" i="8"/>
  <c r="H18" i="8" s="1"/>
  <c r="G19" i="8"/>
  <c r="H19" i="8" s="1"/>
  <c r="H20" i="8"/>
  <c r="H23" i="8"/>
  <c r="AI21" i="40"/>
  <c r="C45" i="42" l="1"/>
  <c r="F40" i="42"/>
  <c r="G40" i="42" s="1"/>
  <c r="D22" i="23"/>
  <c r="B50" i="42" l="1"/>
  <c r="B51" i="42" s="1"/>
  <c r="C46" i="42"/>
  <c r="O6" i="18"/>
  <c r="Q6" i="18" l="1"/>
  <c r="B4" i="18"/>
  <c r="A1" i="23"/>
  <c r="A1" i="8"/>
  <c r="A1" i="18"/>
  <c r="E41" i="8"/>
  <c r="F13" i="8"/>
  <c r="F10" i="8"/>
  <c r="F9" i="8" l="1"/>
  <c r="D11" i="40"/>
  <c r="F8" i="8" l="1"/>
  <c r="D5" i="40"/>
  <c r="G5" i="40"/>
  <c r="D6" i="40"/>
  <c r="D7" i="40"/>
  <c r="G7" i="40"/>
  <c r="D8" i="40"/>
  <c r="G8" i="40"/>
  <c r="D9" i="40"/>
  <c r="G9" i="40"/>
  <c r="D10" i="40"/>
  <c r="D12" i="40"/>
  <c r="G12" i="40"/>
  <c r="D13" i="40"/>
  <c r="G13" i="40"/>
  <c r="D14" i="40"/>
  <c r="D15" i="40"/>
  <c r="D16" i="40"/>
  <c r="G16" i="40"/>
  <c r="D17" i="40"/>
  <c r="G17" i="40"/>
  <c r="D18" i="40"/>
  <c r="D19" i="40"/>
  <c r="D20" i="40"/>
  <c r="G20" i="40"/>
  <c r="D21" i="40"/>
  <c r="G21" i="40"/>
  <c r="D22" i="40"/>
  <c r="D23" i="40"/>
  <c r="D24" i="40"/>
  <c r="G24" i="40"/>
  <c r="D25" i="40"/>
  <c r="G25" i="40"/>
  <c r="D26" i="40"/>
  <c r="D27" i="40"/>
  <c r="D28" i="40"/>
  <c r="G28" i="40"/>
  <c r="D29" i="40"/>
  <c r="G29" i="40"/>
  <c r="D30" i="40"/>
  <c r="C32" i="40"/>
  <c r="D32" i="40" s="1"/>
  <c r="E32" i="40" s="1"/>
  <c r="F32" i="40" s="1"/>
  <c r="G32" i="40" s="1"/>
  <c r="H32" i="40" s="1"/>
  <c r="I32" i="40" s="1"/>
  <c r="J32" i="40" s="1"/>
  <c r="K32" i="40" s="1"/>
  <c r="L32" i="40" s="1"/>
  <c r="M32" i="40" s="1"/>
  <c r="N32" i="40" s="1"/>
  <c r="O32" i="40" s="1"/>
  <c r="P32" i="40" s="1"/>
  <c r="Q32" i="40" s="1"/>
  <c r="R32" i="40" s="1"/>
  <c r="S32" i="40" s="1"/>
  <c r="T32" i="40" s="1"/>
  <c r="U32" i="40" s="1"/>
  <c r="V32" i="40" s="1"/>
  <c r="W32" i="40" s="1"/>
  <c r="X32" i="40" s="1"/>
  <c r="Y32" i="40" s="1"/>
  <c r="Z32" i="40" s="1"/>
  <c r="AA32" i="40" s="1"/>
  <c r="D4" i="41"/>
  <c r="E4" i="41"/>
  <c r="F4" i="41"/>
  <c r="G4" i="41"/>
  <c r="C5" i="41"/>
  <c r="E5" i="41"/>
  <c r="F5" i="41"/>
  <c r="G5" i="41"/>
  <c r="C6" i="41"/>
  <c r="D6" i="41"/>
  <c r="E6" i="41"/>
  <c r="F6" i="41"/>
  <c r="G6" i="41"/>
  <c r="C7" i="41"/>
  <c r="E7" i="41"/>
  <c r="G7" i="41"/>
  <c r="C8" i="41"/>
  <c r="D8" i="41"/>
  <c r="E8" i="41"/>
  <c r="F8" i="41"/>
  <c r="G8" i="41"/>
  <c r="C9" i="41"/>
  <c r="D9" i="41"/>
  <c r="E9" i="41"/>
  <c r="G9" i="41"/>
  <c r="C10" i="41"/>
  <c r="E10" i="41"/>
  <c r="G10" i="41"/>
  <c r="C11" i="41"/>
  <c r="E11" i="41"/>
  <c r="G11" i="41"/>
  <c r="C12" i="41"/>
  <c r="E12" i="41"/>
  <c r="F12" i="41"/>
  <c r="G12" i="41"/>
  <c r="C13" i="41"/>
  <c r="E13" i="41"/>
  <c r="G13" i="41"/>
  <c r="C14" i="41"/>
  <c r="D14" i="41"/>
  <c r="E14" i="41"/>
  <c r="F14" i="41"/>
  <c r="G14" i="41"/>
  <c r="C15" i="41"/>
  <c r="D15" i="41"/>
  <c r="E15" i="41"/>
  <c r="G15" i="41"/>
  <c r="C16" i="41"/>
  <c r="D16" i="41"/>
  <c r="E16" i="41"/>
  <c r="F16" i="41"/>
  <c r="G16" i="41"/>
  <c r="C17" i="41"/>
  <c r="D17" i="41"/>
  <c r="E17" i="41"/>
  <c r="G17" i="41"/>
  <c r="C18" i="41"/>
  <c r="E18" i="41"/>
  <c r="G18" i="41"/>
  <c r="H18" i="41"/>
  <c r="H3" i="41"/>
  <c r="G3" i="41"/>
  <c r="F3" i="41"/>
  <c r="E3" i="41"/>
  <c r="D3" i="41"/>
  <c r="I4" i="41" l="1"/>
  <c r="AB32" i="40"/>
  <c r="AC32" i="40" s="1"/>
  <c r="AD32" i="40" s="1"/>
  <c r="AE32" i="40" s="1"/>
  <c r="AF32" i="40" s="1"/>
  <c r="F7" i="8"/>
  <c r="E7" i="23" s="1"/>
  <c r="AL8" i="40"/>
  <c r="AI23" i="40"/>
  <c r="AI11" i="40"/>
  <c r="AI16" i="40"/>
  <c r="AI22" i="40"/>
  <c r="AI10" i="40"/>
  <c r="AL6" i="40"/>
  <c r="AI8" i="40"/>
  <c r="AL5" i="40"/>
  <c r="AI20" i="40"/>
  <c r="AI7" i="40"/>
  <c r="AL4" i="40"/>
  <c r="AI19" i="40"/>
  <c r="AL3" i="40"/>
  <c r="AI15" i="40"/>
  <c r="AI27" i="40"/>
  <c r="AI13" i="40"/>
  <c r="AI24" i="40"/>
  <c r="AI12" i="40"/>
  <c r="G30" i="40"/>
  <c r="G26" i="40"/>
  <c r="G22" i="40"/>
  <c r="G18" i="40"/>
  <c r="G14" i="40"/>
  <c r="G10" i="40"/>
  <c r="G6" i="40"/>
  <c r="G27" i="40"/>
  <c r="G23" i="40"/>
  <c r="G19" i="40"/>
  <c r="G15" i="40"/>
  <c r="G11" i="40"/>
  <c r="J11" i="40" s="1"/>
  <c r="I7" i="41"/>
  <c r="I8" i="41"/>
  <c r="I11" i="41"/>
  <c r="I12" i="41"/>
  <c r="I16" i="41"/>
  <c r="I15" i="41"/>
  <c r="I9" i="41"/>
  <c r="I5" i="41"/>
  <c r="I13" i="41"/>
  <c r="I14" i="41"/>
  <c r="I10" i="41"/>
  <c r="I6" i="41"/>
  <c r="I18" i="41"/>
  <c r="I17" i="41"/>
  <c r="J3" i="41"/>
  <c r="I3" i="41"/>
  <c r="C19" i="41"/>
  <c r="J19" i="8" l="1"/>
  <c r="AI9" i="40"/>
  <c r="E19" i="41"/>
  <c r="I19" i="41" l="1"/>
  <c r="G19" i="41"/>
  <c r="AL7" i="40" l="1"/>
  <c r="J14" i="8" l="1"/>
  <c r="G4" i="40"/>
  <c r="J6" i="40"/>
  <c r="J24" i="40"/>
  <c r="J8" i="40"/>
  <c r="J25" i="40"/>
  <c r="J22" i="40"/>
  <c r="J9" i="40"/>
  <c r="D4" i="40"/>
  <c r="J4" i="40" s="1"/>
  <c r="J29" i="40"/>
  <c r="J23" i="40"/>
  <c r="J17" i="40"/>
  <c r="J7" i="40"/>
  <c r="J5" i="40"/>
  <c r="J27" i="40"/>
  <c r="J19" i="40"/>
  <c r="J18" i="40"/>
  <c r="J16" i="40"/>
  <c r="J15" i="40"/>
  <c r="J13" i="40"/>
  <c r="J12" i="40"/>
  <c r="J10" i="40"/>
  <c r="J21" i="40"/>
  <c r="J20" i="40"/>
  <c r="J30" i="40"/>
  <c r="J12" i="8" l="1"/>
  <c r="J16" i="8"/>
  <c r="J17" i="8"/>
  <c r="J11" i="8"/>
  <c r="AI6" i="40"/>
  <c r="J28" i="40"/>
  <c r="J26" i="40"/>
  <c r="J14" i="40"/>
  <c r="AI5" i="40" l="1"/>
  <c r="AI4" i="40" s="1"/>
  <c r="AI3" i="40" s="1"/>
  <c r="J15" i="8"/>
  <c r="A58" i="18"/>
  <c r="D10" i="23"/>
  <c r="J10" i="8" l="1"/>
  <c r="A1" i="15" l="1"/>
  <c r="E17" i="23" l="1"/>
  <c r="D17" i="23"/>
  <c r="F17" i="23" l="1"/>
  <c r="J9" i="8"/>
  <c r="J13" i="8"/>
  <c r="F40" i="8"/>
  <c r="G40" i="8" s="1"/>
  <c r="C21" i="8" l="1"/>
  <c r="C13" i="8"/>
  <c r="G13" i="8" l="1"/>
  <c r="H13" i="8" s="1"/>
  <c r="J8" i="8"/>
  <c r="E16" i="23"/>
  <c r="C39" i="8" l="1"/>
  <c r="B50" i="8" l="1"/>
  <c r="B51" i="8" l="1"/>
  <c r="B40" i="8" l="1"/>
  <c r="C10" i="8"/>
  <c r="G10" i="8" l="1"/>
  <c r="H10" i="8" s="1"/>
  <c r="C9" i="8"/>
  <c r="G9" i="8" l="1"/>
  <c r="H9" i="8" s="1"/>
  <c r="C8" i="8"/>
  <c r="D16" i="23" l="1"/>
  <c r="G8" i="8"/>
  <c r="H8" i="8" s="1"/>
  <c r="C7" i="8"/>
  <c r="D7" i="23" s="1"/>
  <c r="E18" i="23"/>
  <c r="G7" i="8" l="1"/>
  <c r="H7" i="8" s="1"/>
  <c r="D18" i="23"/>
  <c r="F16" i="23"/>
  <c r="F7" i="23"/>
  <c r="B39" i="8"/>
  <c r="D39" i="8" s="1"/>
  <c r="C24" i="8"/>
  <c r="F18" i="23" l="1"/>
  <c r="D11" i="23"/>
  <c r="B41" i="8"/>
  <c r="O21" i="18" l="1"/>
  <c r="Q21" i="18" s="1"/>
  <c r="O22" i="18"/>
  <c r="Q22" i="18" s="1"/>
  <c r="O23" i="18"/>
  <c r="Q23" i="18" s="1"/>
  <c r="O25" i="18"/>
  <c r="Q25" i="18" s="1"/>
  <c r="O36" i="18"/>
  <c r="Q36" i="18" s="1"/>
  <c r="O37" i="18"/>
  <c r="Q37" i="18" s="1"/>
  <c r="O39" i="18"/>
  <c r="Q39" i="18" s="1"/>
  <c r="O42" i="18"/>
  <c r="Q42" i="18" s="1"/>
  <c r="O20" i="18" l="1"/>
  <c r="Q20" i="18" l="1"/>
  <c r="D11" i="41" l="1"/>
  <c r="D7" i="41"/>
  <c r="D18" i="41"/>
  <c r="H7" i="41"/>
  <c r="D12" i="41"/>
  <c r="D13" i="41" l="1"/>
  <c r="L46" i="15" l="1"/>
  <c r="D45" i="18" s="1"/>
  <c r="N46" i="15" l="1"/>
  <c r="D12" i="23"/>
  <c r="D13" i="23" s="1"/>
  <c r="O55" i="18" l="1"/>
  <c r="Q55" i="18" s="1"/>
  <c r="L26" i="15" l="1"/>
  <c r="D25" i="18" s="1"/>
  <c r="L34" i="15"/>
  <c r="N34" i="15" s="1"/>
  <c r="O34" i="15" s="1"/>
  <c r="L40" i="15"/>
  <c r="O46" i="18"/>
  <c r="Q46" i="18" s="1"/>
  <c r="O41" i="18"/>
  <c r="Q41" i="18" s="1"/>
  <c r="O26" i="18"/>
  <c r="Q26" i="18" s="1"/>
  <c r="L16" i="15"/>
  <c r="L12" i="15"/>
  <c r="L24" i="15"/>
  <c r="N26" i="15" l="1"/>
  <c r="O26" i="15" s="1"/>
  <c r="D33" i="18"/>
  <c r="F15" i="41"/>
  <c r="D23" i="18"/>
  <c r="N24" i="15"/>
  <c r="O24" i="15" s="1"/>
  <c r="D15" i="18"/>
  <c r="N16" i="15"/>
  <c r="O16" i="15" s="1"/>
  <c r="N12" i="15"/>
  <c r="O12" i="15" s="1"/>
  <c r="D11" i="18"/>
  <c r="L11" i="15"/>
  <c r="N40" i="15"/>
  <c r="O40" i="15" s="1"/>
  <c r="D39" i="18"/>
  <c r="O33" i="18"/>
  <c r="Q33" i="18" s="1"/>
  <c r="L27" i="15"/>
  <c r="D26" i="18" s="1"/>
  <c r="D10" i="18" l="1"/>
  <c r="N11" i="15"/>
  <c r="O11" i="15" s="1"/>
  <c r="N27" i="15"/>
  <c r="O27" i="15" s="1"/>
  <c r="L17" i="15" l="1"/>
  <c r="D16" i="18" l="1"/>
  <c r="N17" i="15"/>
  <c r="O17" i="15" s="1"/>
  <c r="H9" i="41"/>
  <c r="O54" i="18" l="1"/>
  <c r="Q54" i="18" s="1"/>
  <c r="O53" i="18"/>
  <c r="Q53" i="18" s="1"/>
  <c r="O52" i="18"/>
  <c r="Q52" i="18" s="1"/>
  <c r="O51" i="18"/>
  <c r="Q51" i="18" s="1"/>
  <c r="O50" i="18"/>
  <c r="Q50" i="18" s="1"/>
  <c r="E32" i="8"/>
  <c r="D30" i="8" l="1"/>
  <c r="D32" i="8"/>
  <c r="L50" i="15"/>
  <c r="L36" i="15"/>
  <c r="L15" i="15"/>
  <c r="D31" i="8"/>
  <c r="O44" i="18"/>
  <c r="Q44" i="18" s="1"/>
  <c r="O35" i="18"/>
  <c r="Q35" i="18" s="1"/>
  <c r="O24" i="18"/>
  <c r="O43" i="18"/>
  <c r="Q43" i="18" s="1"/>
  <c r="L37" i="15"/>
  <c r="L45" i="15"/>
  <c r="D44" i="18" s="1"/>
  <c r="L38" i="15"/>
  <c r="D46" i="18"/>
  <c r="L14" i="15"/>
  <c r="E31" i="8"/>
  <c r="L19" i="15"/>
  <c r="L42" i="15"/>
  <c r="D41" i="18" s="1"/>
  <c r="L55" i="15"/>
  <c r="D54" i="18" s="1"/>
  <c r="E30" i="8"/>
  <c r="L56" i="15"/>
  <c r="L54" i="15"/>
  <c r="D53" i="18" s="1"/>
  <c r="L53" i="15"/>
  <c r="D52" i="18" s="1"/>
  <c r="L51" i="15"/>
  <c r="D50" i="18" s="1"/>
  <c r="L52" i="15"/>
  <c r="D51" i="18" s="1"/>
  <c r="L44" i="15"/>
  <c r="D43" i="18" s="1"/>
  <c r="D28" i="8" l="1"/>
  <c r="L23" i="15"/>
  <c r="D22" i="18" s="1"/>
  <c r="L18" i="15"/>
  <c r="D17" i="18" s="1"/>
  <c r="D37" i="18"/>
  <c r="F18" i="41"/>
  <c r="J18" i="41" s="1"/>
  <c r="D55" i="18"/>
  <c r="D13" i="18"/>
  <c r="H4" i="41"/>
  <c r="J4" i="41" s="1"/>
  <c r="D14" i="18"/>
  <c r="F7" i="41"/>
  <c r="D18" i="18"/>
  <c r="F9" i="41"/>
  <c r="J9" i="41" s="1"/>
  <c r="D35" i="18"/>
  <c r="D36" i="18"/>
  <c r="F17" i="41"/>
  <c r="L21" i="15"/>
  <c r="L49" i="15"/>
  <c r="F32" i="8"/>
  <c r="D49" i="18"/>
  <c r="E37" i="23"/>
  <c r="D27" i="8"/>
  <c r="L13" i="15"/>
  <c r="L43" i="15"/>
  <c r="H6" i="41" s="1"/>
  <c r="J6" i="41" s="1"/>
  <c r="E27" i="23" s="1"/>
  <c r="L25" i="15"/>
  <c r="F56" i="18"/>
  <c r="Q24" i="18"/>
  <c r="N47" i="15"/>
  <c r="O47" i="15" s="1"/>
  <c r="N45" i="15"/>
  <c r="O45" i="15" s="1"/>
  <c r="L28" i="15"/>
  <c r="L20" i="15"/>
  <c r="L22" i="15"/>
  <c r="F10" i="41" l="1"/>
  <c r="E33" i="23"/>
  <c r="E31" i="23"/>
  <c r="F31" i="23" s="1"/>
  <c r="D27" i="18"/>
  <c r="E12" i="23"/>
  <c r="E5" i="23"/>
  <c r="E10" i="23" s="1"/>
  <c r="D12" i="18"/>
  <c r="D10" i="41"/>
  <c r="D48" i="18"/>
  <c r="F30" i="8"/>
  <c r="D20" i="18"/>
  <c r="F13" i="41"/>
  <c r="J7" i="41"/>
  <c r="D21" i="18"/>
  <c r="N22" i="15"/>
  <c r="O22" i="15" s="1"/>
  <c r="H10" i="41"/>
  <c r="D19" i="18"/>
  <c r="N20" i="15"/>
  <c r="O20" i="15" s="1"/>
  <c r="H13" i="41"/>
  <c r="D42" i="18"/>
  <c r="F31" i="8"/>
  <c r="D24" i="18"/>
  <c r="F27" i="23"/>
  <c r="N28" i="15"/>
  <c r="O28" i="15" s="1"/>
  <c r="H16" i="41"/>
  <c r="F5" i="23" l="1"/>
  <c r="L7" i="15"/>
  <c r="J13" i="41"/>
  <c r="E25" i="23" s="1"/>
  <c r="F25" i="23" s="1"/>
  <c r="J10" i="41"/>
  <c r="E19" i="23"/>
  <c r="F10" i="23"/>
  <c r="E11" i="23"/>
  <c r="F11" i="23" s="1"/>
  <c r="J16" i="41"/>
  <c r="J57" i="15" l="1"/>
  <c r="D29" i="8"/>
  <c r="D26" i="8" s="1"/>
  <c r="D33" i="8" s="1"/>
  <c r="D34" i="8" s="1"/>
  <c r="E20" i="23"/>
  <c r="D6" i="18"/>
  <c r="N7" i="15"/>
  <c r="O7" i="15" s="1"/>
  <c r="L9" i="15"/>
  <c r="D8" i="18" l="1"/>
  <c r="N9" i="15"/>
  <c r="O9" i="15" s="1"/>
  <c r="H12" i="41"/>
  <c r="J12" i="41" s="1"/>
  <c r="L8" i="15"/>
  <c r="E32" i="23"/>
  <c r="E28" i="23"/>
  <c r="E38" i="23"/>
  <c r="E26" i="23"/>
  <c r="E34" i="23"/>
  <c r="F12" i="23"/>
  <c r="E13" i="23"/>
  <c r="F13" i="23" s="1"/>
  <c r="D7" i="18" l="1"/>
  <c r="L10" i="15" l="1"/>
  <c r="N19" i="15" l="1"/>
  <c r="O19" i="15" s="1"/>
  <c r="D9" i="18"/>
  <c r="N10" i="15"/>
  <c r="O10" i="15" s="1"/>
  <c r="H8" i="41"/>
  <c r="J8" i="41" l="1"/>
  <c r="N15" i="15" l="1"/>
  <c r="O15" i="15" s="1"/>
  <c r="N25" i="15"/>
  <c r="O25" i="15" s="1"/>
  <c r="N56" i="15" l="1"/>
  <c r="O56" i="15" s="1"/>
  <c r="N21" i="15" l="1"/>
  <c r="O21" i="15" s="1"/>
  <c r="N36" i="15"/>
  <c r="O36" i="15" s="1"/>
  <c r="N38" i="15"/>
  <c r="O38" i="15" s="1"/>
  <c r="N42" i="15"/>
  <c r="O42" i="15" s="1"/>
  <c r="N44" i="15"/>
  <c r="O44" i="15" s="1"/>
  <c r="N51" i="15"/>
  <c r="O51" i="15" s="1"/>
  <c r="N52" i="15"/>
  <c r="O52" i="15" s="1"/>
  <c r="N53" i="15"/>
  <c r="O53" i="15" s="1"/>
  <c r="N54" i="15"/>
  <c r="O54" i="15" s="1"/>
  <c r="N55" i="15"/>
  <c r="O55" i="15" s="1"/>
  <c r="N14" i="15"/>
  <c r="O14" i="15" s="1"/>
  <c r="N37" i="15"/>
  <c r="O37" i="15" s="1"/>
  <c r="D33" i="23" l="1"/>
  <c r="N23" i="15"/>
  <c r="O23" i="15" s="1"/>
  <c r="N8" i="15"/>
  <c r="O8" i="15" s="1"/>
  <c r="C31" i="8"/>
  <c r="G31" i="8" s="1"/>
  <c r="H31" i="8" s="1"/>
  <c r="N43" i="15"/>
  <c r="O43" i="15" s="1"/>
  <c r="C27" i="8"/>
  <c r="N13" i="15"/>
  <c r="O13" i="15" s="1"/>
  <c r="C30" i="8"/>
  <c r="N49" i="15"/>
  <c r="O49" i="15" s="1"/>
  <c r="C32" i="8"/>
  <c r="N50" i="15"/>
  <c r="O50" i="15" s="1"/>
  <c r="N18" i="15"/>
  <c r="O18" i="15" s="1"/>
  <c r="C29" i="8" l="1"/>
  <c r="C26" i="8" s="1"/>
  <c r="D37" i="23"/>
  <c r="G32" i="8"/>
  <c r="H32" i="8" s="1"/>
  <c r="D19" i="23"/>
  <c r="G30" i="8"/>
  <c r="H30" i="8" s="1"/>
  <c r="F33" i="23"/>
  <c r="D20" i="23" l="1"/>
  <c r="D38" i="23" s="1"/>
  <c r="F38" i="23" s="1"/>
  <c r="F19" i="23"/>
  <c r="F37" i="23"/>
  <c r="C33" i="8"/>
  <c r="C34" i="8" l="1"/>
  <c r="D26" i="23"/>
  <c r="F26" i="23" s="1"/>
  <c r="D28" i="23"/>
  <c r="F28" i="23" s="1"/>
  <c r="D32" i="23"/>
  <c r="F32" i="23" s="1"/>
  <c r="D30" i="23"/>
  <c r="D36" i="23"/>
  <c r="D24" i="23"/>
  <c r="F20" i="23"/>
  <c r="D34" i="23"/>
  <c r="F34" i="23" s="1"/>
  <c r="O32" i="18" l="1"/>
  <c r="Q32" i="18" s="1"/>
  <c r="O47" i="18"/>
  <c r="Q47" i="18" s="1"/>
  <c r="L35" i="15"/>
  <c r="L33" i="15"/>
  <c r="E35" i="23" s="1"/>
  <c r="O28" i="18" l="1"/>
  <c r="Q28" i="18" s="1"/>
  <c r="D34" i="18"/>
  <c r="N35" i="15"/>
  <c r="O35" i="15" s="1"/>
  <c r="D32" i="18"/>
  <c r="N33" i="15"/>
  <c r="O33" i="15" s="1"/>
  <c r="H15" i="41"/>
  <c r="J15" i="41" s="1"/>
  <c r="O30" i="18"/>
  <c r="Q30" i="18" s="1"/>
  <c r="L48" i="15"/>
  <c r="L29" i="15"/>
  <c r="H17" i="41" s="1"/>
  <c r="J17" i="41" s="1"/>
  <c r="D28" i="18" l="1"/>
  <c r="N29" i="15"/>
  <c r="O29" i="15" s="1"/>
  <c r="K21" i="41"/>
  <c r="D47" i="18"/>
  <c r="N48" i="15"/>
  <c r="O48" i="15" s="1"/>
  <c r="H14" i="41"/>
  <c r="J14" i="41" s="1"/>
  <c r="O34" i="18"/>
  <c r="Q34" i="18" s="1"/>
  <c r="F35" i="23" l="1"/>
  <c r="E36" i="23"/>
  <c r="F36" i="23" s="1"/>
  <c r="O31" i="18"/>
  <c r="Q31" i="18" s="1"/>
  <c r="L31" i="15" l="1"/>
  <c r="E28" i="8"/>
  <c r="F11" i="41" l="1"/>
  <c r="F19" i="41" s="1"/>
  <c r="D30" i="18"/>
  <c r="D28" i="42"/>
  <c r="F28" i="8"/>
  <c r="N31" i="15"/>
  <c r="O31" i="15" s="1"/>
  <c r="B52" i="42" l="1"/>
  <c r="E28" i="42"/>
  <c r="F28" i="42" s="1"/>
  <c r="B52" i="8"/>
  <c r="G28" i="8"/>
  <c r="H28" i="8" s="1"/>
  <c r="B54" i="8" l="1"/>
  <c r="B53" i="8"/>
  <c r="B53" i="42"/>
  <c r="B54" i="42"/>
  <c r="L32" i="15" l="1"/>
  <c r="N32" i="15" l="1"/>
  <c r="O32" i="15" s="1"/>
  <c r="D31" i="18"/>
  <c r="O38" i="18" l="1"/>
  <c r="Q38" i="18" s="1"/>
  <c r="K56" i="18"/>
  <c r="O29" i="18" l="1"/>
  <c r="O40" i="18"/>
  <c r="Q40" i="18" s="1"/>
  <c r="L39" i="15"/>
  <c r="E27" i="8" l="1"/>
  <c r="L41" i="15"/>
  <c r="D38" i="18"/>
  <c r="H5" i="41"/>
  <c r="N39" i="15"/>
  <c r="O39" i="15" s="1"/>
  <c r="Q29" i="18"/>
  <c r="Q56" i="18" s="1"/>
  <c r="O56" i="18"/>
  <c r="L30" i="15"/>
  <c r="K57" i="15"/>
  <c r="E29" i="8"/>
  <c r="R49" i="18" l="1"/>
  <c r="R48" i="18"/>
  <c r="R55" i="18"/>
  <c r="R52" i="18"/>
  <c r="R53" i="18"/>
  <c r="R54" i="18"/>
  <c r="R50" i="18"/>
  <c r="R51" i="18"/>
  <c r="E26" i="8"/>
  <c r="E33" i="8" s="1"/>
  <c r="D40" i="18"/>
  <c r="F27" i="8"/>
  <c r="G27" i="8" s="1"/>
  <c r="H27" i="8" s="1"/>
  <c r="D5" i="41"/>
  <c r="D19" i="41" s="1"/>
  <c r="D27" i="42"/>
  <c r="E27" i="42" s="1"/>
  <c r="F27" i="42" s="1"/>
  <c r="N41" i="15"/>
  <c r="O41" i="15" s="1"/>
  <c r="R29" i="18"/>
  <c r="F39" i="42"/>
  <c r="B45" i="42"/>
  <c r="F39" i="8"/>
  <c r="B45" i="8" s="1"/>
  <c r="B46" i="8" s="1"/>
  <c r="D29" i="18"/>
  <c r="N30" i="15"/>
  <c r="O30" i="15" s="1"/>
  <c r="H11" i="41"/>
  <c r="D29" i="42"/>
  <c r="L57" i="15"/>
  <c r="F29" i="8"/>
  <c r="D56" i="18" l="1"/>
  <c r="J5" i="41"/>
  <c r="E23" i="23" s="1"/>
  <c r="O57" i="18"/>
  <c r="G39" i="8"/>
  <c r="F41" i="8"/>
  <c r="G41" i="8" s="1"/>
  <c r="B46" i="42"/>
  <c r="D45" i="42"/>
  <c r="D46" i="42" s="1"/>
  <c r="G39" i="42"/>
  <c r="F41" i="42"/>
  <c r="G41" i="42" s="1"/>
  <c r="J57" i="18"/>
  <c r="R26" i="18"/>
  <c r="R6" i="18"/>
  <c r="R38" i="18"/>
  <c r="R27" i="18"/>
  <c r="R25" i="18"/>
  <c r="R37" i="18"/>
  <c r="N57" i="18"/>
  <c r="L57" i="18"/>
  <c r="R14" i="18"/>
  <c r="R43" i="18"/>
  <c r="R28" i="18"/>
  <c r="G57" i="18"/>
  <c r="R47" i="18"/>
  <c r="H57" i="18"/>
  <c r="R36" i="18"/>
  <c r="R40" i="18"/>
  <c r="R31" i="18"/>
  <c r="R42" i="18"/>
  <c r="R30" i="18"/>
  <c r="R21" i="18"/>
  <c r="R34" i="18"/>
  <c r="R20" i="18"/>
  <c r="R11" i="18"/>
  <c r="R18" i="18"/>
  <c r="R46" i="18"/>
  <c r="M57" i="18"/>
  <c r="R32" i="18"/>
  <c r="R35" i="18"/>
  <c r="R22" i="18"/>
  <c r="R15" i="18"/>
  <c r="R12" i="18"/>
  <c r="R13" i="18"/>
  <c r="R41" i="18"/>
  <c r="R10" i="18"/>
  <c r="R44" i="18"/>
  <c r="R24" i="18"/>
  <c r="R45" i="18"/>
  <c r="R8" i="18"/>
  <c r="I57" i="18"/>
  <c r="R9" i="18"/>
  <c r="R7" i="18"/>
  <c r="F57" i="18"/>
  <c r="R33" i="18"/>
  <c r="R19" i="18"/>
  <c r="R17" i="18"/>
  <c r="R23" i="18"/>
  <c r="P57" i="18"/>
  <c r="R16" i="18"/>
  <c r="R39" i="18"/>
  <c r="K57" i="18"/>
  <c r="F26" i="8"/>
  <c r="G29" i="8"/>
  <c r="H29" i="8" s="1"/>
  <c r="J11" i="41"/>
  <c r="H19" i="41"/>
  <c r="J20" i="41"/>
  <c r="N57" i="15"/>
  <c r="O57" i="15" s="1"/>
  <c r="E29" i="42"/>
  <c r="F29" i="42" s="1"/>
  <c r="D26" i="42"/>
  <c r="E24" i="23" l="1"/>
  <c r="F24" i="23" s="1"/>
  <c r="F23" i="23"/>
  <c r="Q57" i="18"/>
  <c r="R56" i="18"/>
  <c r="E26" i="42"/>
  <c r="F26" i="42" s="1"/>
  <c r="D33" i="42"/>
  <c r="E29" i="23"/>
  <c r="J19" i="41"/>
  <c r="K11" i="41" s="1"/>
  <c r="F33" i="8"/>
  <c r="G26" i="8"/>
  <c r="H26" i="8" s="1"/>
  <c r="J21" i="41" l="1"/>
  <c r="F29" i="23"/>
  <c r="E30" i="23"/>
  <c r="F30" i="23" s="1"/>
  <c r="G30" i="42"/>
  <c r="G32" i="42"/>
  <c r="G31" i="42"/>
  <c r="D34" i="42"/>
  <c r="E33" i="42"/>
  <c r="G27" i="42"/>
  <c r="G33" i="42"/>
  <c r="G28" i="42"/>
  <c r="G29" i="42"/>
  <c r="G26" i="42"/>
  <c r="I26" i="8"/>
  <c r="I27" i="8"/>
  <c r="I31" i="8"/>
  <c r="I28" i="8"/>
  <c r="I30" i="8"/>
  <c r="I32" i="8"/>
  <c r="I33" i="8"/>
  <c r="G33" i="8"/>
  <c r="I29" i="8"/>
  <c r="K8" i="41"/>
  <c r="K10" i="41"/>
  <c r="K5" i="41"/>
  <c r="K7" i="41"/>
  <c r="K12" i="41"/>
  <c r="K4" i="41"/>
  <c r="K14" i="41"/>
  <c r="K17" i="41"/>
  <c r="K13" i="41"/>
  <c r="K6" i="41"/>
  <c r="K16" i="41"/>
  <c r="K3" i="41"/>
  <c r="K9" i="41"/>
  <c r="K18" i="41"/>
  <c r="K15" i="41"/>
  <c r="F33" i="42" l="1"/>
  <c r="E34" i="42"/>
  <c r="K19" i="41"/>
  <c r="H33" i="8"/>
  <c r="M57" i="15" l="1"/>
  <c r="E22" i="8" s="1"/>
  <c r="F22" i="8" l="1"/>
  <c r="E21" i="8"/>
  <c r="E24" i="8" s="1"/>
  <c r="E34" i="8" s="1"/>
  <c r="F21" i="8" l="1"/>
  <c r="G22" i="8"/>
  <c r="H22" i="8" s="1"/>
  <c r="J22" i="8"/>
  <c r="G21" i="8" l="1"/>
  <c r="H21" i="8" s="1"/>
  <c r="F24" i="8"/>
  <c r="C44" i="8"/>
  <c r="C40" i="8"/>
  <c r="D40" i="8" l="1"/>
  <c r="C41" i="8"/>
  <c r="D41" i="8" s="1"/>
  <c r="C46" i="8"/>
  <c r="D44" i="8"/>
  <c r="I21" i="8"/>
  <c r="I8" i="8"/>
  <c r="I20" i="8"/>
  <c r="I17" i="8"/>
  <c r="I16" i="8"/>
  <c r="I13" i="8"/>
  <c r="I9" i="8"/>
  <c r="G24" i="8"/>
  <c r="I14" i="8"/>
  <c r="I10" i="8"/>
  <c r="F34" i="8"/>
  <c r="I18" i="8"/>
  <c r="I24" i="8"/>
  <c r="I23" i="8"/>
  <c r="I12" i="8"/>
  <c r="I7" i="8"/>
  <c r="I19" i="8"/>
  <c r="I15" i="8"/>
  <c r="I11" i="8"/>
  <c r="I22" i="8"/>
  <c r="D45" i="8" l="1"/>
  <c r="D46" i="8" s="1"/>
  <c r="H24" i="8"/>
  <c r="G3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AK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Apenas na Reprogramação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Flavia Rios Costa</author>
  </authors>
  <commentList>
    <comment ref="C5" authorId="0" shapeId="0" xr:uid="{1E3E9210-4EF2-4E6B-AF0E-56DE06EB1377}">
      <text>
        <r>
          <rPr>
            <sz val="11"/>
            <color indexed="81"/>
            <rFont val="Tahoma"/>
            <family val="2"/>
          </rPr>
          <t>AT = Projeto ou Atividade Atual (já existente na Programação 2024)
N = Projeto ou Atividade Nova (não existente na Programação 2024)
R = Projeto ou Atividade Reformulada (alterada)
E = Projeto ou Atividade Excluída
C = Projeto concluído</t>
        </r>
      </text>
    </comment>
    <comment ref="M5" authorId="0" shapeId="0" xr:uid="{ECFAC112-018E-4379-8E10-69F0225E3A8F}">
      <text>
        <r>
          <rPr>
            <sz val="12"/>
            <color indexed="81"/>
            <rFont val="Calibri"/>
            <family val="2"/>
            <scheme val="minor"/>
          </rPr>
          <t xml:space="preserve"> Resolução nº 200- Art. 9º "Fica autorizada a utilização de superávit financeiro acumulado até o exercício imediatamente anterior, apurado no balanço patrimonial, em despesas de capital e em projetos específicos, com seus respectivos planos de trabalho, de caráter não continuado, não configurado como atividade, em ações cuja realização seja suportada por despesas de natureza corrente".</t>
        </r>
      </text>
    </comment>
  </commentList>
</comments>
</file>

<file path=xl/sharedStrings.xml><?xml version="1.0" encoding="utf-8"?>
<sst xmlns="http://schemas.openxmlformats.org/spreadsheetml/2006/main" count="1176" uniqueCount="592">
  <si>
    <t>UF</t>
  </si>
  <si>
    <t>Fundo de Apoio</t>
  </si>
  <si>
    <t>CSC</t>
  </si>
  <si>
    <t>Ressarcimento</t>
  </si>
  <si>
    <t>Informações para os Indicadores</t>
  </si>
  <si>
    <t>PF</t>
  </si>
  <si>
    <t>PJ</t>
  </si>
  <si>
    <t>RRT</t>
  </si>
  <si>
    <t>Taxas</t>
  </si>
  <si>
    <t>Programação 
2023</t>
  </si>
  <si>
    <t>Encontro de Contas</t>
  </si>
  <si>
    <t>Superávit financiero
apurado em 2022</t>
  </si>
  <si>
    <t>População estimada 2022</t>
  </si>
  <si>
    <t>Fontes de Receitas Correntes (80%)</t>
  </si>
  <si>
    <t>MG</t>
  </si>
  <si>
    <t>Demais valores a checar</t>
  </si>
  <si>
    <t>Exercício</t>
  </si>
  <si>
    <t>Exercícios Anteriores</t>
  </si>
  <si>
    <t>Programação</t>
  </si>
  <si>
    <t>Aporte ao
Fundo de Apoio</t>
  </si>
  <si>
    <t>Utilização com Plenárias Ampliadas</t>
  </si>
  <si>
    <t>Repasse do Fundo de Apoio</t>
  </si>
  <si>
    <t>Fiscalização</t>
  </si>
  <si>
    <t>Atendimento</t>
  </si>
  <si>
    <t>Taxas Bancárias
(Outras Receitas)</t>
  </si>
  <si>
    <t>Ativos</t>
  </si>
  <si>
    <t>Potencial Pagantes</t>
  </si>
  <si>
    <t>Inadimplência</t>
  </si>
  <si>
    <t>Quantitativo</t>
  </si>
  <si>
    <t>1. Receitas Correntes</t>
  </si>
  <si>
    <t>CSC - Fiscalização</t>
  </si>
  <si>
    <t>AC</t>
  </si>
  <si>
    <t>1.1 Receitas de Arrecadação Total</t>
  </si>
  <si>
    <t>CSC - Atendimento</t>
  </si>
  <si>
    <t>AL</t>
  </si>
  <si>
    <t>1.1.1 Anuidades</t>
  </si>
  <si>
    <t>Fundo de Apoio - APORTE</t>
  </si>
  <si>
    <t>AM</t>
  </si>
  <si>
    <t>1.1.1.1 Pessoa Física</t>
  </si>
  <si>
    <t>Fundo de Apoio - Plenárias Ampliadas</t>
  </si>
  <si>
    <t>AP</t>
  </si>
  <si>
    <t>1.1.1.1.1 Anuidade do Exercício 2023</t>
  </si>
  <si>
    <t>BA</t>
  </si>
  <si>
    <t>1.1.1.1.2 Anuidade Exercícios anteriores</t>
  </si>
  <si>
    <t>Superávit Financeiro 2022</t>
  </si>
  <si>
    <t>CE</t>
  </si>
  <si>
    <t>1.1.1.2 Pessoa Jurídica</t>
  </si>
  <si>
    <t>DF</t>
  </si>
  <si>
    <t>1.1.1.2.1 Anuidade do Exercício 2023</t>
  </si>
  <si>
    <t>ES</t>
  </si>
  <si>
    <t>1.1.1.2.2 Anuidade Exercícios anteriores</t>
  </si>
  <si>
    <t>GO</t>
  </si>
  <si>
    <t>1.1.3 RRT</t>
  </si>
  <si>
    <t>MA</t>
  </si>
  <si>
    <t>1.1.3 Taxas e Multas</t>
  </si>
  <si>
    <t>1.2 Aplicações Financeiras</t>
  </si>
  <si>
    <t>MS</t>
  </si>
  <si>
    <t>1.3 Outras Receitas Correntes</t>
  </si>
  <si>
    <t>MT</t>
  </si>
  <si>
    <t>1.4 Fundo de Apoio</t>
  </si>
  <si>
    <t>PA</t>
  </si>
  <si>
    <t>PB</t>
  </si>
  <si>
    <t>Quantidades e Inadimplência</t>
  </si>
  <si>
    <t>PE</t>
  </si>
  <si>
    <t>PF - Ativos</t>
  </si>
  <si>
    <t>PI</t>
  </si>
  <si>
    <t>PF - Potencial Pagantes</t>
  </si>
  <si>
    <t>PR</t>
  </si>
  <si>
    <t>PF - Inadimplência</t>
  </si>
  <si>
    <t>RJ</t>
  </si>
  <si>
    <t>PJ - Quantidade</t>
  </si>
  <si>
    <t>RN</t>
  </si>
  <si>
    <t>PJ - Inadimplência</t>
  </si>
  <si>
    <t>RO</t>
  </si>
  <si>
    <t>RRT - Quantidade</t>
  </si>
  <si>
    <t>RR</t>
  </si>
  <si>
    <t>RS</t>
  </si>
  <si>
    <t>Dados Geográficos</t>
  </si>
  <si>
    <t>SC</t>
  </si>
  <si>
    <t>População - 2022</t>
  </si>
  <si>
    <t>SE</t>
  </si>
  <si>
    <t>SP</t>
  </si>
  <si>
    <t>TO</t>
  </si>
  <si>
    <t>nº da coluna</t>
  </si>
  <si>
    <t>Perspectivas</t>
  </si>
  <si>
    <t>Projetos/Objetivos Estratégicos</t>
  </si>
  <si>
    <t>Projeto</t>
  </si>
  <si>
    <t>Projeto Específico</t>
  </si>
  <si>
    <t>Atividade</t>
  </si>
  <si>
    <t>Total Iniciativas</t>
  </si>
  <si>
    <t>Part. %</t>
  </si>
  <si>
    <t>Objetivos Locais</t>
  </si>
  <si>
    <t>Qde.</t>
  </si>
  <si>
    <t>Valor</t>
  </si>
  <si>
    <t>selecione abaixo</t>
  </si>
  <si>
    <t>Sociedade</t>
  </si>
  <si>
    <t>Impactar significativamente o planejamento e a gestão do território</t>
  </si>
  <si>
    <t>Estimular o conhecimento, o uso de processos criativos e a difusão das melhores práticas em Arquitetura e Urbanismo</t>
  </si>
  <si>
    <t>Valorizar a Arquitetura e Urbanismo</t>
  </si>
  <si>
    <t>Aprimorar e inovar os processos e as ações</t>
  </si>
  <si>
    <t>Processos Internos</t>
  </si>
  <si>
    <t>Tornar a fiscalização um vetor de melhoria do exercício da Arquitetura e Urbanismo</t>
  </si>
  <si>
    <t>Assegurar a eficácia no atendimento e no relacionamento com os Arquitetos e Urbanistas e a Sociedade</t>
  </si>
  <si>
    <t>Influenciar as diretrizes do ensino de Arquitetura e Urbanismo e sua formação continuada</t>
  </si>
  <si>
    <t>Garantir a participação dos Arquitetos e Urbanistas no planejamento territorial e na gestão urbana</t>
  </si>
  <si>
    <t>Estimular a produção da Arquitetura e Urbanismo como política de Estado</t>
  </si>
  <si>
    <t>Assegurar a eficácia no relacionamento e comunicação com a sociedade</t>
  </si>
  <si>
    <t>Promover o exercício ético e qualificado da profissão</t>
  </si>
  <si>
    <t>Fomentar o acesso da sociedade à Arquitetura e Urbanismo</t>
  </si>
  <si>
    <t>Assegurar a sustentabilidade financeira</t>
  </si>
  <si>
    <t>Pessoas e Infraestrutura</t>
  </si>
  <si>
    <t>Desenvolver competências de dirigentes e colaboradores</t>
  </si>
  <si>
    <t>Construir cultura organizacional adequada à estratégia</t>
  </si>
  <si>
    <t>Ter sistemas de informação e infraestrutura que viabilizem a gestão e o atendimento dos arquitetos e urbanistas e a sociedade</t>
  </si>
  <si>
    <t>TOTAL</t>
  </si>
  <si>
    <t xml:space="preserve">Objetivos de Desenvolvimento Sustentável </t>
  </si>
  <si>
    <t>Indicadores Institucionais e de Resultado (agrupados por objetivo estratégico) - Metas</t>
  </si>
  <si>
    <t>A- INDICADORES INSTITUCIONAIS</t>
  </si>
  <si>
    <t xml:space="preserve">Fórmula </t>
  </si>
  <si>
    <t xml:space="preserve">Periodicidade </t>
  </si>
  <si>
    <t>Meta
2023</t>
  </si>
  <si>
    <t>Meta
2024</t>
  </si>
  <si>
    <r>
      <t xml:space="preserve">Índice de municípios que possuem  Plano Diretor, em conformidade com os critérios da legislação (%) 
</t>
    </r>
    <r>
      <rPr>
        <b/>
        <sz val="12"/>
        <color theme="1"/>
        <rFont val="Calibri"/>
        <family val="2"/>
        <scheme val="minor"/>
      </rPr>
      <t xml:space="preserve">(CAU/UF) </t>
    </r>
  </si>
  <si>
    <t>x 100</t>
  </si>
  <si>
    <t>Anual</t>
  </si>
  <si>
    <t>total de municípios da UF</t>
  </si>
  <si>
    <t>B- INDICADORES DE RESULTADO</t>
  </si>
  <si>
    <r>
      <t xml:space="preserve">Índice da capacidade de fiscalização (%) 
</t>
    </r>
    <r>
      <rPr>
        <b/>
        <sz val="12"/>
        <rFont val="Calibri"/>
        <family val="2"/>
        <scheme val="minor"/>
      </rPr>
      <t xml:space="preserve">(CAU/UF) </t>
    </r>
  </si>
  <si>
    <t xml:space="preserve">Mensal </t>
  </si>
  <si>
    <r>
      <t xml:space="preserve">Índice de presença profissional nas obras e  serviços fiscalizados  (%)
</t>
    </r>
    <r>
      <rPr>
        <b/>
        <sz val="12"/>
        <rFont val="Calibri"/>
        <family val="2"/>
        <scheme val="minor"/>
      </rPr>
      <t xml:space="preserve">(CAU/UF) </t>
    </r>
    <r>
      <rPr>
        <sz val="12"/>
        <rFont val="Calibri"/>
        <family val="2"/>
        <scheme val="minor"/>
      </rPr>
      <t xml:space="preserve">                   </t>
    </r>
  </si>
  <si>
    <t>quantidade de obras e serviços regulares</t>
  </si>
  <si>
    <t>quantidade de obras e serviços fiscalizados pelo CAU/UF</t>
  </si>
  <si>
    <r>
      <t xml:space="preserve">Índice de RRT por profissional ativo (Qtd)
</t>
    </r>
    <r>
      <rPr>
        <b/>
        <sz val="12"/>
        <rFont val="Calibri"/>
        <family val="2"/>
        <scheme val="minor"/>
      </rPr>
      <t xml:space="preserve">(CAU/UF)         </t>
    </r>
    <r>
      <rPr>
        <sz val="12"/>
        <rFont val="Calibri"/>
        <family val="2"/>
        <scheme val="minor"/>
      </rPr>
      <t xml:space="preserve">       </t>
    </r>
  </si>
  <si>
    <r>
      <t xml:space="preserve">Índice de capacidade de atendimento de denúncias  (%)
</t>
    </r>
    <r>
      <rPr>
        <b/>
        <sz val="12"/>
        <rFont val="Calibri"/>
        <family val="2"/>
        <scheme val="minor"/>
      </rPr>
      <t>(CAU/UF)</t>
    </r>
  </si>
  <si>
    <r>
      <t xml:space="preserve">Índice de eficiência na conclusão de processos de fiscalização  (%)
</t>
    </r>
    <r>
      <rPr>
        <b/>
        <sz val="12"/>
        <rFont val="Calibri"/>
        <family val="2"/>
        <scheme val="minor"/>
      </rPr>
      <t>(CAU/UF)</t>
    </r>
  </si>
  <si>
    <t>número de processos de fiscalização concluídos no semestre</t>
  </si>
  <si>
    <t>Semestral</t>
  </si>
  <si>
    <t>*</t>
  </si>
  <si>
    <t xml:space="preserve"> número total de processos de fiscalização em aberto no ano</t>
  </si>
  <si>
    <r>
      <t xml:space="preserve">Índice da capacidade de articulação institucional para fiscalização (%)
</t>
    </r>
    <r>
      <rPr>
        <b/>
        <sz val="12"/>
        <rFont val="Calibri"/>
        <family val="2"/>
        <scheme val="minor"/>
      </rPr>
      <t>(CAU/UF)</t>
    </r>
  </si>
  <si>
    <r>
      <t xml:space="preserve">Índice produtividade de fiscalização (%)
</t>
    </r>
    <r>
      <rPr>
        <b/>
        <sz val="12"/>
        <rFont val="Calibri"/>
        <family val="2"/>
        <scheme val="minor"/>
      </rPr>
      <t>(CAU/UF)</t>
    </r>
  </si>
  <si>
    <t>Mensal</t>
  </si>
  <si>
    <r>
      <t xml:space="preserve">Índice de regularidade no CAU (%)
</t>
    </r>
    <r>
      <rPr>
        <b/>
        <sz val="12"/>
        <rFont val="Calibri"/>
        <family val="2"/>
        <scheme val="minor"/>
      </rPr>
      <t>(CAU/UF)</t>
    </r>
  </si>
  <si>
    <t>quantidade obras e serviços com RRT</t>
  </si>
  <si>
    <r>
      <t xml:space="preserve">Índice de regularização de obras e serviços (%)
</t>
    </r>
    <r>
      <rPr>
        <b/>
        <sz val="12"/>
        <rFont val="Calibri"/>
        <family val="2"/>
        <scheme val="minor"/>
      </rPr>
      <t>(CAU/UF)</t>
    </r>
  </si>
  <si>
    <t>quantidade de obras e serviços regularizados</t>
  </si>
  <si>
    <r>
      <t xml:space="preserve">Índice de regularização com RRT (%)
</t>
    </r>
    <r>
      <rPr>
        <b/>
        <sz val="12"/>
        <rFont val="Calibri"/>
        <family val="2"/>
        <scheme val="minor"/>
      </rPr>
      <t>(CAU/UF)</t>
    </r>
  </si>
  <si>
    <t>quantidade de obras e serviços regularizados com RRT</t>
  </si>
  <si>
    <t>quantidade obras e serviços regularizados</t>
  </si>
  <si>
    <t>Assegurar a eficácia no atendimento e no relacionamento com os arquitetos e urbanistas e a sociedade</t>
  </si>
  <si>
    <r>
      <t xml:space="preserve">Índice de atendimento (%)
</t>
    </r>
    <r>
      <rPr>
        <b/>
        <sz val="12"/>
        <rFont val="Calibri"/>
        <family val="2"/>
        <scheme val="minor"/>
      </rPr>
      <t>(CAU/UF)</t>
    </r>
  </si>
  <si>
    <t>Trimestral</t>
  </si>
  <si>
    <r>
      <t xml:space="preserve">Índice de satisfação com a solução da demanda (%)
</t>
    </r>
    <r>
      <rPr>
        <b/>
        <sz val="12"/>
        <rFont val="Calibri"/>
        <family val="2"/>
        <scheme val="minor"/>
      </rPr>
      <t>(CAU/UF)</t>
    </r>
  </si>
  <si>
    <r>
      <t xml:space="preserve">Índice de reclamações recebidas na Ouvidoria (%)
</t>
    </r>
    <r>
      <rPr>
        <b/>
        <sz val="12"/>
        <rFont val="Calibri"/>
        <family val="2"/>
        <scheme val="minor"/>
      </rPr>
      <t>(CAU/UF)</t>
    </r>
  </si>
  <si>
    <t xml:space="preserve">número de reclamações recebidas pela Ouvidoria  no trimestre                                                                                                               </t>
  </si>
  <si>
    <t>NSA</t>
  </si>
  <si>
    <t xml:space="preserve">número total de atendimentos pela Ouvidoria no trimestre                                   </t>
  </si>
  <si>
    <r>
      <t xml:space="preserve">Índice da capacidade de execução dos investimentos em patrocínios  (%)
</t>
    </r>
    <r>
      <rPr>
        <b/>
        <sz val="12"/>
        <rFont val="Calibri"/>
        <family val="2"/>
        <scheme val="minor"/>
      </rPr>
      <t>(CAU/UF)</t>
    </r>
  </si>
  <si>
    <t>valor orçamentário investido (executado) em patrocínios no ano</t>
  </si>
  <si>
    <t xml:space="preserve">Anual
</t>
  </si>
  <si>
    <t>valor orçamentário destinado (orçado) em patrocínios no ano</t>
  </si>
  <si>
    <r>
      <t xml:space="preserve">Índice de difusão de conhecimento em eventos próprios (%)
</t>
    </r>
    <r>
      <rPr>
        <b/>
        <sz val="12"/>
        <rFont val="Calibri"/>
        <family val="2"/>
        <scheme val="minor"/>
      </rPr>
      <t>(CAU/UF)</t>
    </r>
  </si>
  <si>
    <r>
      <t xml:space="preserve">Índice de eficiência de custos de eventos próprios
</t>
    </r>
    <r>
      <rPr>
        <b/>
        <sz val="12"/>
        <rFont val="Calibri"/>
        <family val="2"/>
        <scheme val="minor"/>
      </rPr>
      <t>(CAU/UF)</t>
    </r>
  </si>
  <si>
    <r>
      <t xml:space="preserve">Índice de alcance das melhores práticas (%)
</t>
    </r>
    <r>
      <rPr>
        <b/>
        <sz val="12"/>
        <rFont val="Calibri"/>
        <family val="2"/>
        <scheme val="minor"/>
      </rPr>
      <t>(CAU/UF)</t>
    </r>
  </si>
  <si>
    <t>Garantir a participação dos arquitetos e urbanistas no planejamento territorial e na gestão urbana</t>
  </si>
  <si>
    <r>
      <t xml:space="preserve">Ações realizadas em conjunto com municípios, destinadas ao planejamento urbano
</t>
    </r>
    <r>
      <rPr>
        <b/>
        <sz val="12"/>
        <color theme="1"/>
        <rFont val="Calibri"/>
        <family val="2"/>
        <scheme val="minor"/>
      </rPr>
      <t>(CAU/UF)</t>
    </r>
  </si>
  <si>
    <t>número de ações com participação do CAU/UF</t>
  </si>
  <si>
    <t>Estimular a produção da arquitetura e urbanismo como política de Estado</t>
  </si>
  <si>
    <r>
      <t xml:space="preserve">Participação do CAU na elaboração ou regulamentação da Lei da Assistência Técnica Gratuita (Lei nº 11.888/08) (%)
</t>
    </r>
    <r>
      <rPr>
        <b/>
        <sz val="12"/>
        <rFont val="Calibri"/>
        <family val="2"/>
        <scheme val="minor"/>
      </rPr>
      <t>(CAU/UF)</t>
    </r>
  </si>
  <si>
    <t>número de municípios da UF que passaram a aplicar a Lei de Assistência Técnica</t>
  </si>
  <si>
    <r>
      <t xml:space="preserve">Índice de ações realizadas destinadas à Assistência Técnica (%)
</t>
    </r>
    <r>
      <rPr>
        <b/>
        <sz val="12"/>
        <rFont val="Calibri"/>
        <family val="2"/>
        <scheme val="minor"/>
      </rPr>
      <t>(CAU/UF)</t>
    </r>
  </si>
  <si>
    <r>
      <t xml:space="preserve">Acessos à página do CAU (Qtd.)
</t>
    </r>
    <r>
      <rPr>
        <b/>
        <sz val="12"/>
        <rFont val="Calibri"/>
        <family val="2"/>
        <scheme val="minor"/>
      </rPr>
      <t>(CAU/UF)</t>
    </r>
  </si>
  <si>
    <t>quantidade de acessos qualificados (visitantes únicos) a página do CAU/UF</t>
  </si>
  <si>
    <r>
      <t xml:space="preserve">Índice de presença na mídia como um todo (%)
</t>
    </r>
    <r>
      <rPr>
        <b/>
        <sz val="12"/>
        <rFont val="Calibri"/>
        <family val="2"/>
        <scheme val="minor"/>
      </rPr>
      <t>(CAU/UF)</t>
    </r>
  </si>
  <si>
    <r>
      <t xml:space="preserve">Índice de inserções positivas na mídia (%)
</t>
    </r>
    <r>
      <rPr>
        <b/>
        <sz val="12"/>
        <rFont val="Calibri"/>
        <family val="2"/>
        <scheme val="minor"/>
      </rPr>
      <t>(CAU/UF)</t>
    </r>
  </si>
  <si>
    <t>Número de  visualizações das publicações do CAU/UF das redes sociais</t>
  </si>
  <si>
    <t>quantidade de visualizações das publicações do CAU/UF das redes sociais</t>
  </si>
  <si>
    <r>
      <t xml:space="preserve">Índice de escolas que possuem disciplinas com conteúdo sobre a ética profissional (%)
</t>
    </r>
    <r>
      <rPr>
        <b/>
        <sz val="12"/>
        <rFont val="Calibri"/>
        <family val="2"/>
        <scheme val="minor"/>
      </rPr>
      <t>(CAU/UF)</t>
    </r>
  </si>
  <si>
    <t>número de escolas da UF com a disciplina de ética profissional na grade curricular</t>
  </si>
  <si>
    <t>número total de escolas da UF</t>
  </si>
  <si>
    <r>
      <t xml:space="preserve">Índice de eficiência na conclusão de processos éticos (%)
</t>
    </r>
    <r>
      <rPr>
        <b/>
        <sz val="12"/>
        <rFont val="Calibri"/>
        <family val="2"/>
        <scheme val="minor"/>
      </rPr>
      <t>(CAU/UF)</t>
    </r>
  </si>
  <si>
    <r>
      <t xml:space="preserve">Eficiência no trâmite de processos éticos (dias)
</t>
    </r>
    <r>
      <rPr>
        <b/>
        <sz val="12"/>
        <rFont val="Calibri"/>
        <family val="2"/>
        <scheme val="minor"/>
      </rPr>
      <t>(CAU/UF)</t>
    </r>
  </si>
  <si>
    <r>
      <t xml:space="preserve">Índice de RRT por população (1.000 habitantes) (%)
</t>
    </r>
    <r>
      <rPr>
        <b/>
        <sz val="12"/>
        <rFont val="Calibri"/>
        <family val="2"/>
        <scheme val="minor"/>
      </rPr>
      <t>(CAU/UF)</t>
    </r>
  </si>
  <si>
    <r>
      <t xml:space="preserve">Índice de RRT mínimos (%)
</t>
    </r>
    <r>
      <rPr>
        <b/>
        <sz val="12"/>
        <rFont val="Calibri"/>
        <family val="2"/>
        <scheme val="minor"/>
      </rPr>
      <t>(CAU/UF)</t>
    </r>
  </si>
  <si>
    <r>
      <t xml:space="preserve">Índice de RRT Social (%)
</t>
    </r>
    <r>
      <rPr>
        <b/>
        <sz val="12"/>
        <rFont val="Calibri"/>
        <family val="2"/>
        <scheme val="minor"/>
      </rPr>
      <t>(CAU/UF)</t>
    </r>
  </si>
  <si>
    <r>
      <t xml:space="preserve">Índice de receita por arquiteto e urbanista 
</t>
    </r>
    <r>
      <rPr>
        <b/>
        <sz val="12"/>
        <rFont val="Calibri"/>
        <family val="2"/>
        <scheme val="minor"/>
      </rPr>
      <t>(CAU/UF)</t>
    </r>
  </si>
  <si>
    <r>
      <t xml:space="preserve">Relação receita/custo total de pessoal (%)
</t>
    </r>
    <r>
      <rPr>
        <b/>
        <sz val="12"/>
        <rFont val="Calibri"/>
        <family val="2"/>
        <scheme val="minor"/>
      </rPr>
      <t>(CAU/UF)</t>
    </r>
  </si>
  <si>
    <t xml:space="preserve">Semestral </t>
  </si>
  <si>
    <r>
      <t xml:space="preserve">Índice de liquidez corrente 
</t>
    </r>
    <r>
      <rPr>
        <b/>
        <sz val="12"/>
        <rFont val="Calibri"/>
        <family val="2"/>
        <scheme val="minor"/>
      </rPr>
      <t>(CAU/UF)</t>
    </r>
  </si>
  <si>
    <r>
      <t xml:space="preserve">Índice de inadimplência pessoa física (%)
</t>
    </r>
    <r>
      <rPr>
        <b/>
        <sz val="12"/>
        <rFont val="Calibri"/>
        <family val="2"/>
        <scheme val="minor"/>
      </rPr>
      <t>(CAU/UF)</t>
    </r>
  </si>
  <si>
    <r>
      <t xml:space="preserve">Índice de inadimplência pessoa jurídica (%)
</t>
    </r>
    <r>
      <rPr>
        <b/>
        <sz val="12"/>
        <rFont val="Calibri"/>
        <family val="2"/>
        <scheme val="minor"/>
      </rPr>
      <t>(CAU/UF)</t>
    </r>
  </si>
  <si>
    <r>
      <t xml:space="preserve">Índice de mapeamento processos (%)
</t>
    </r>
    <r>
      <rPr>
        <b/>
        <sz val="12"/>
        <rFont val="Calibri"/>
        <family val="2"/>
        <scheme val="minor"/>
      </rPr>
      <t>(CAU/UF)</t>
    </r>
  </si>
  <si>
    <r>
      <t xml:space="preserve">Índice de normatização de processos (%)
</t>
    </r>
    <r>
      <rPr>
        <b/>
        <sz val="12"/>
        <rFont val="Calibri"/>
        <family val="2"/>
        <scheme val="minor"/>
      </rPr>
      <t>(CAU/UF)</t>
    </r>
  </si>
  <si>
    <t>total de processos existentes</t>
  </si>
  <si>
    <r>
      <t xml:space="preserve">Índice de automação de processos (%)
</t>
    </r>
    <r>
      <rPr>
        <b/>
        <sz val="12"/>
        <rFont val="Calibri"/>
        <family val="2"/>
        <scheme val="minor"/>
      </rPr>
      <t>(CAU/UF)</t>
    </r>
  </si>
  <si>
    <t>número de processos automatizados</t>
  </si>
  <si>
    <r>
      <t xml:space="preserve">Média de horas de treinamento por colaboradores e dirigentes
</t>
    </r>
    <r>
      <rPr>
        <b/>
        <sz val="12"/>
        <rFont val="Calibri"/>
        <family val="2"/>
        <scheme val="minor"/>
      </rPr>
      <t>(CAU/UF)</t>
    </r>
  </si>
  <si>
    <t>Número de ações executadas</t>
  </si>
  <si>
    <t xml:space="preserve">quantidade de ações executadas voltadas à cultura organizacional e estratégia                                                                                                                  </t>
  </si>
  <si>
    <t>Índice de cumprimento das metas do Plano de Ação (%)</t>
  </si>
  <si>
    <r>
      <t xml:space="preserve">Índice de satisfação interna com a tecnologia utilizada (%)
</t>
    </r>
    <r>
      <rPr>
        <b/>
        <sz val="12"/>
        <rFont val="Calibri"/>
        <family val="2"/>
        <scheme val="minor"/>
      </rPr>
      <t>(CAU/UF)</t>
    </r>
  </si>
  <si>
    <r>
      <t xml:space="preserve">Índice de satisfação externa com a tecnologia utilizada (%)
</t>
    </r>
    <r>
      <rPr>
        <b/>
        <sz val="12"/>
        <rFont val="Calibri"/>
        <family val="2"/>
        <scheme val="minor"/>
      </rPr>
      <t>(CAU/UF)</t>
    </r>
  </si>
  <si>
    <t>Indicadores selecionados pelo UF (para uso do CAU/BR)</t>
  </si>
  <si>
    <t>1. QUADRO GERAL</t>
  </si>
  <si>
    <t>Unidade Responsável</t>
  </si>
  <si>
    <t>P/A/ PE</t>
  </si>
  <si>
    <t>Denominação</t>
  </si>
  <si>
    <t xml:space="preserve">Objetivo Geral </t>
  </si>
  <si>
    <t>Objetivo Estratégico Principal</t>
  </si>
  <si>
    <t>Objetivos de Desenvolvimento Sustentável</t>
  </si>
  <si>
    <t>Resultado</t>
  </si>
  <si>
    <t xml:space="preserve">Variação (2024/2023) </t>
  </si>
  <si>
    <t>Especificação</t>
  </si>
  <si>
    <t>Programação
 2024
  (B)</t>
  </si>
  <si>
    <t xml:space="preserve">Participação
 (E)           </t>
  </si>
  <si>
    <t>R$
 (C=B-A)</t>
  </si>
  <si>
    <t>%
 (D=C/A)</t>
  </si>
  <si>
    <t>A - FONTES</t>
  </si>
  <si>
    <t>Ajuste necessário</t>
  </si>
  <si>
    <t>1.1.4 Taxas e Multas</t>
  </si>
  <si>
    <t>2. Receitas de Capital</t>
  </si>
  <si>
    <t>2.1 Saldos de Exercícios Anteriores (Superávit Financeiro)</t>
  </si>
  <si>
    <t>2.2 Outras Receitas de Capital</t>
  </si>
  <si>
    <t xml:space="preserve"> I – TOTAL</t>
  </si>
  <si>
    <t>B. APLICAÇÕES</t>
  </si>
  <si>
    <t>1. Programação Operacional</t>
  </si>
  <si>
    <t>1.1 Projetos</t>
  </si>
  <si>
    <t>1.2 Projetos Estratégicos</t>
  </si>
  <si>
    <t>1.3 Atividades</t>
  </si>
  <si>
    <t>2. Aportes ao Fundo de Apoio</t>
  </si>
  <si>
    <t xml:space="preserve">3. Aporte ao CSC </t>
  </si>
  <si>
    <t>4. Reserva de Contingência</t>
  </si>
  <si>
    <t>II – TOTAL</t>
  </si>
  <si>
    <t>VARIAÇÃO (I-II)</t>
  </si>
  <si>
    <t>RESUMO DA PROGRAMAÇÃO 2024 - POR CATEGORIA ECONÔMICA</t>
  </si>
  <si>
    <t xml:space="preserve">CATEGORIA ECONÔMICA </t>
  </si>
  <si>
    <t>FONTES</t>
  </si>
  <si>
    <t>APLICAÇÃO</t>
  </si>
  <si>
    <t>Reprogramação 
2023 
(A)</t>
  </si>
  <si>
    <t>Programação 
2024 
(B)</t>
  </si>
  <si>
    <t>Variação
(%)</t>
  </si>
  <si>
    <t>Corrente</t>
  </si>
  <si>
    <t xml:space="preserve">Capital </t>
  </si>
  <si>
    <t>Total</t>
  </si>
  <si>
    <t>Correntes
(R$)</t>
  </si>
  <si>
    <t>Capital
(R$)</t>
  </si>
  <si>
    <t>TOTAL
(R$)</t>
  </si>
  <si>
    <t>I - Receitas</t>
  </si>
  <si>
    <t>II - Despesas</t>
  </si>
  <si>
    <t>Aplicação do Superávit Financeiro</t>
  </si>
  <si>
    <t>Informações</t>
  </si>
  <si>
    <t>I - Superávit financeiro acumulado em 2022</t>
  </si>
  <si>
    <t>II - Despesas de capital</t>
  </si>
  <si>
    <t>II a - Percentual de utilização para capital</t>
  </si>
  <si>
    <t>III - Projetos Estratégicos (PE)</t>
  </si>
  <si>
    <t>III a - Percentual de utilização para PE</t>
  </si>
  <si>
    <t>A. Saldo IV = (I-II-III)</t>
  </si>
  <si>
    <t>BASE DE CÁLCULO</t>
  </si>
  <si>
    <t xml:space="preserve">FOLHA DE PAGAMENTO </t>
  </si>
  <si>
    <t>Variação</t>
  </si>
  <si>
    <t>A. Pessoal e Encargos (Valores totais)</t>
  </si>
  <si>
    <t>B. Valor total das rescisões contratuais, auxílio alimentação, auxílio transporte, plano de saúde e demais benefícios.</t>
  </si>
  <si>
    <t>C. Receitas Correntes</t>
  </si>
  <si>
    <t>LIMITES</t>
  </si>
  <si>
    <t xml:space="preserve">Variação </t>
  </si>
  <si>
    <r>
      <t xml:space="preserve"> Despesas com Pessoal
</t>
    </r>
    <r>
      <rPr>
        <b/>
        <sz val="12"/>
        <color rgb="FFFF0000"/>
        <rFont val="Calibri"/>
        <family val="2"/>
        <scheme val="minor"/>
      </rPr>
      <t>(máximo de 60% sobre as Receitas Correntes)</t>
    </r>
  </si>
  <si>
    <t xml:space="preserve">% </t>
  </si>
  <si>
    <t>APLICAÇÕES DE RECURSOS</t>
  </si>
  <si>
    <t xml:space="preserve">1. Receita de Arrecadação Total </t>
  </si>
  <si>
    <t>2. Recursos do fundo de apoio (CAU Básico)</t>
  </si>
  <si>
    <t>3. Soma (1+2)</t>
  </si>
  <si>
    <t>4. Aportes ao Fundo de Apoio</t>
  </si>
  <si>
    <t>5.  Receita da Arrecadação Líquida (RAL = 3 - 4)</t>
  </si>
  <si>
    <t xml:space="preserve">BASE DE CÁLCULO </t>
  </si>
  <si>
    <r>
      <t xml:space="preserve">Fiscalização
</t>
    </r>
    <r>
      <rPr>
        <b/>
        <sz val="12"/>
        <color rgb="FFFF0000"/>
        <rFont val="Calibri"/>
        <family val="2"/>
        <scheme val="minor"/>
      </rPr>
      <t xml:space="preserve">(mínimo de 25,0% do total da RAL)      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</t>
    </r>
  </si>
  <si>
    <r>
      <t xml:space="preserve">Assistência Técnica
</t>
    </r>
    <r>
      <rPr>
        <b/>
        <sz val="12"/>
        <color rgb="FFFF0000"/>
        <rFont val="Calibri"/>
        <family val="2"/>
        <scheme val="minor"/>
      </rPr>
      <t xml:space="preserve">(mínimo de 3,0% do total da RAL)    </t>
    </r>
  </si>
  <si>
    <r>
      <t xml:space="preserve">Atendimento
</t>
    </r>
    <r>
      <rPr>
        <b/>
        <sz val="12"/>
        <color rgb="FFFF0000"/>
        <rFont val="Calibri"/>
        <family val="2"/>
        <scheme val="minor"/>
      </rPr>
      <t>(mínimo de 10,0% do total da RAL)</t>
    </r>
  </si>
  <si>
    <r>
      <t xml:space="preserve">Comunicação
</t>
    </r>
    <r>
      <rPr>
        <b/>
        <sz val="12"/>
        <color rgb="FFFF0000"/>
        <rFont val="Calibri"/>
        <family val="2"/>
        <scheme val="minor"/>
      </rPr>
      <t xml:space="preserve">(mínimo de 3,0% do total da RAL)    </t>
    </r>
    <r>
      <rPr>
        <b/>
        <sz val="12"/>
        <color indexed="21"/>
        <rFont val="Calibri"/>
        <family val="2"/>
        <scheme val="minor"/>
      </rPr>
      <t xml:space="preserve">         </t>
    </r>
    <r>
      <rPr>
        <b/>
        <sz val="12"/>
        <color indexed="57"/>
        <rFont val="Calibri"/>
        <family val="2"/>
        <scheme val="minor"/>
      </rPr>
      <t xml:space="preserve">                                                                                </t>
    </r>
  </si>
  <si>
    <r>
      <t xml:space="preserve">Patrocínio
</t>
    </r>
    <r>
      <rPr>
        <b/>
        <sz val="12"/>
        <color rgb="FFFF0000"/>
        <rFont val="Calibri"/>
        <family val="2"/>
        <scheme val="minor"/>
      </rPr>
      <t xml:space="preserve">(máximo de 5,0% do total da RAL)      </t>
    </r>
    <r>
      <rPr>
        <b/>
        <sz val="12"/>
        <color indexed="10"/>
        <rFont val="Calibri"/>
        <family val="2"/>
        <scheme val="minor"/>
      </rPr>
      <t xml:space="preserve">   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       </t>
    </r>
  </si>
  <si>
    <r>
      <t xml:space="preserve">Patrimônio
</t>
    </r>
    <r>
      <rPr>
        <b/>
        <sz val="12"/>
        <color rgb="FFFF0000"/>
        <rFont val="Calibri"/>
        <family val="2"/>
        <scheme val="minor"/>
      </rPr>
      <t xml:space="preserve">(mínimo de 2,0% do total da RAL)    </t>
    </r>
  </si>
  <si>
    <r>
      <t xml:space="preserve">Objetivos Estratégicos Locais
</t>
    </r>
    <r>
      <rPr>
        <b/>
        <sz val="12"/>
        <color rgb="FFFF0000"/>
        <rFont val="Calibri"/>
        <family val="2"/>
        <scheme val="minor"/>
      </rPr>
      <t xml:space="preserve">(mínimo de 6,0% do total da RAL)         </t>
    </r>
    <r>
      <rPr>
        <b/>
        <sz val="12"/>
        <color indexed="21"/>
        <rFont val="Calibri"/>
        <family val="2"/>
        <scheme val="minor"/>
      </rPr>
      <t xml:space="preserve">                </t>
    </r>
  </si>
  <si>
    <r>
      <t xml:space="preserve">Reserva de Contingência
</t>
    </r>
    <r>
      <rPr>
        <b/>
        <sz val="12"/>
        <color rgb="FFFF0000"/>
        <rFont val="Calibri"/>
        <family val="2"/>
        <scheme val="minor"/>
      </rPr>
      <t xml:space="preserve">(máximo 2,0% do total da RAL)        </t>
    </r>
    <r>
      <rPr>
        <b/>
        <sz val="12"/>
        <color indexed="21"/>
        <rFont val="Calibri"/>
        <family val="2"/>
        <scheme val="minor"/>
      </rPr>
      <t xml:space="preserve">      </t>
    </r>
  </si>
  <si>
    <t>Comentários / Justificativas quando da flexibilização da aplicação de recursos mínimos e máximos do limite estratégico de Capacitação do Plano de Ação e Orçamento de 2024.</t>
  </si>
  <si>
    <t>Denominação (Projeto/Atividade)</t>
  </si>
  <si>
    <t>Pessoal</t>
  </si>
  <si>
    <t>Material de Consumo</t>
  </si>
  <si>
    <t>Serviços de Terceiros</t>
  </si>
  <si>
    <t>Transferências Correntes</t>
  </si>
  <si>
    <t xml:space="preserve">Reserva de 
Contingência </t>
  </si>
  <si>
    <t>Encargos Diversos</t>
  </si>
  <si>
    <t>Soma</t>
  </si>
  <si>
    <t>Imobilizado</t>
  </si>
  <si>
    <t>% Part.</t>
  </si>
  <si>
    <t>Pessoal e Encargos</t>
  </si>
  <si>
    <t>Diárias</t>
  </si>
  <si>
    <t>Passagens</t>
  </si>
  <si>
    <t>Serviços Prestados</t>
  </si>
  <si>
    <t>TOTAL GERAL</t>
  </si>
  <si>
    <t>01 - Erradicação da pobreza</t>
  </si>
  <si>
    <t>Não se aplica</t>
  </si>
  <si>
    <t>P</t>
  </si>
  <si>
    <t>02 - Fome zero e agricultura sustentável</t>
  </si>
  <si>
    <t>Atendimento Eletrônico</t>
  </si>
  <si>
    <t>A</t>
  </si>
  <si>
    <t>03 - Saúde e bem-estar</t>
  </si>
  <si>
    <t>Auto-Atendimento</t>
  </si>
  <si>
    <t>04 - Educação de qualidade</t>
  </si>
  <si>
    <t>Serviços de Terceiros- Diárias</t>
  </si>
  <si>
    <t>Qualificação dos Canais de Atendimento</t>
  </si>
  <si>
    <t>P.</t>
  </si>
  <si>
    <t>05 - Igualdade de gênero</t>
  </si>
  <si>
    <t>Serviços de Terceiros- Passagens</t>
  </si>
  <si>
    <t>Ações Locais em Mídia</t>
  </si>
  <si>
    <t>A.</t>
  </si>
  <si>
    <t>06 - Água limpa e saneamento</t>
  </si>
  <si>
    <t>Serviços de Terceiros- Serviços Prestados</t>
  </si>
  <si>
    <t>Ações Nacionais em Mídia</t>
  </si>
  <si>
    <t>PE.</t>
  </si>
  <si>
    <t>07 - Energia limpa e acessível </t>
  </si>
  <si>
    <t>Serviços de Terceiros- Aluguéis e Encargos</t>
  </si>
  <si>
    <t>Atualização do Portal da Transparência</t>
  </si>
  <si>
    <t>08 - Trabalho decente e crescimento econômico</t>
  </si>
  <si>
    <t>Representação em Instâncias Públicas</t>
  </si>
  <si>
    <t>09 - Inovação infraestrutura</t>
  </si>
  <si>
    <t xml:space="preserve">Reserva de Contingência </t>
  </si>
  <si>
    <t>Câmaras Temáticas</t>
  </si>
  <si>
    <t>10 - Redução das desigualdades</t>
  </si>
  <si>
    <t>Editais de Patrocínio</t>
  </si>
  <si>
    <t>11 - Cidades e comunidades sustentáveis</t>
  </si>
  <si>
    <t>Capacitação em ATHIS</t>
  </si>
  <si>
    <t>12 - Consumo e produção responsáveis</t>
  </si>
  <si>
    <t>Cooperação Técnica para ATHIS</t>
  </si>
  <si>
    <t>13 - Ação contra a mudança global do clima</t>
  </si>
  <si>
    <t>Ações de Melhoria da Qualidade do Ensino</t>
  </si>
  <si>
    <t>14 - Vida na água</t>
  </si>
  <si>
    <t>CAU nas Escolas</t>
  </si>
  <si>
    <t>15 - Vida terrestre</t>
  </si>
  <si>
    <t>Audiências de Conciliação</t>
  </si>
  <si>
    <t>16 - Paz, justiça e instituições eficazes</t>
  </si>
  <si>
    <t>Melhoria de Processo Ético</t>
  </si>
  <si>
    <t>17 - Parcerias e meios de implementação</t>
  </si>
  <si>
    <t>Palestras e campanhas sobre Aspectos Éticos</t>
  </si>
  <si>
    <t>Cooperação Técnica para Fiscalização</t>
  </si>
  <si>
    <t>Plataforma de Georreferenciamento</t>
  </si>
  <si>
    <t>Fiscalização Orientativa</t>
  </si>
  <si>
    <t>Fiscalização em Obras</t>
  </si>
  <si>
    <t>-</t>
  </si>
  <si>
    <t>gerplan2024</t>
  </si>
  <si>
    <t>CAU/UF:  Conselho de Arquitetura e Urbanismo do Estado de Minas Gerais- CAU/MG</t>
  </si>
  <si>
    <t>Comissão de Ensino e Formação (CEF)</t>
  </si>
  <si>
    <t>Diretrizes e orientações desenvolvidas para maior integração entre CAU/MG e as Instituições de Ensino Superior mineiras; Demandas administrativas relativas à Comissão realizadas conforme previsões regimentais e pelos normativos do CAU.</t>
  </si>
  <si>
    <t>Manter e Desenvolver as Atividades da Comissão de Ética e Disciplina</t>
  </si>
  <si>
    <t>Diretrizes e orientações desenvolvidas e divulgadas para a ampliação da compreensão do Código de Ética no Estado de Minas Gerais; Demandas administrativas relativas à Comissão realizadas conforme previsões regimentais e pelos normativos do CAU.</t>
  </si>
  <si>
    <t>Manter e Desenvolver as Atividades da Comissão de Exercício Profissional</t>
  </si>
  <si>
    <t>Diretrizes e orientações  elaboradas e monitoradas para a fiscalização do CAU/MG; Demandas administrativas relativas à Comissão realizadas conforme previsões regimentais e pelos normativos do CAU.</t>
  </si>
  <si>
    <t>Manter e Desenvolver as Atividades da Comissão de Planejamento e Finanças</t>
  </si>
  <si>
    <t>Diretrizes e orientações elaboradas e revisadas voltadas para melhorias no planejamento das ações administrativas e financeiras do CAU/MG; Demandas administrativas relativas à Comissão realizadas conforme previsões regimentais e pelos normativos do CAU.</t>
  </si>
  <si>
    <t>Diretrizes e orientações elaboradas e revisadas voltadas para melhorias organizacionais, normativas e administrativas do CAU/MG; Demandas administrativas relativas à Comissão realizadas conforme previsões regimentais e pelos normativos do CAU.</t>
  </si>
  <si>
    <t>Comissão Especial de Política Urbana e Ambiental (CPUA)</t>
  </si>
  <si>
    <t>Diretrizes e orientações elaboradas e revisadas voltadas para o aperfeiçoamento da política urbana de municípios e estado e para o desenvolvimento profissional integrado às demandas relativas ao planejamento urbano e territorial; Demandas administrativas relativas à Comissão realizadas conforme previsões regimentais e pelos normativos do CAU.</t>
  </si>
  <si>
    <t>Comissão Especial de Assistência Técnica para Habitação de Interesse Social (Cathis)</t>
  </si>
  <si>
    <t>Diretrizes e orientações elaboradas e revisadas voltadas para o aperfeiçoamento da política de assistência técnica para habitação de interesse social pública e gratuita e para o desenvolvimento profissional integrado às demandas habitacionais, urbanas e ambientais dos territórios; Demandas administrativas relativas à Comissão realizadas conforme previsões regimentais e pelos normativos do CAU.</t>
  </si>
  <si>
    <t>Comissão Especial de Patrimônio Cultural (CPC)</t>
  </si>
  <si>
    <t>Diretrizes e orientações elaboradas e revisadas voltadas para a valorização e difusão do patrimônio cultural  e promoção da participação dos arquitetos e urbanistas na atuação direta e gestão do patrimônio cultural como política de Estado; Demandas administrativas relativas à Comissão realizadas conforme previsões regimentais e pelos normativos do CAU.</t>
  </si>
  <si>
    <t>Presidência</t>
  </si>
  <si>
    <t>Manter e Desenvolver as Atividades da Presidência e dos Conselheiros Federais</t>
  </si>
  <si>
    <t>Cumprir as competências dos órgãos colegiados conforme Regimento Interno e seu planejamento</t>
  </si>
  <si>
    <t>Representação oficial realizada pela Presidência do CAU/MG e de seus Conselheiros Federais nas reuniões dos órgãos colegiados do CAU/MG; Rotinas administrativas realizadas pela Presidência do CAU/MG.</t>
  </si>
  <si>
    <t>Manter e Desenvolver as Atividades de Comissões Temporárias</t>
  </si>
  <si>
    <t>Garantir a realização de reuniões e ações de Comissões Temporárias instituídas pelo Plenário para atender demandas específicas, conforme Regimento Interno.</t>
  </si>
  <si>
    <t>Apresentação de relatório(s) conclusivo(s) dirigido(s) ao órgão proponente pela instituição das Comissões Temporárias, apresentados ao final dos trabalhos de resolução de demanda específica, publicando-os no sítio eletrônico do CAU/MG.</t>
  </si>
  <si>
    <t>Fomentar atividades que promovam a arquitetura e urbanismo em Minas Gerais.</t>
  </si>
  <si>
    <t>Lançamento de Edital de Patrocínio, e firmar convênios específicos com o objetivo de valorizar a Arquitetura e Urbanismo em Minas Gerais.</t>
  </si>
  <si>
    <t xml:space="preserve">Fomentar atividades no campo da Política Urbana e Ambiental </t>
  </si>
  <si>
    <t>Assistência Técnica para Habitação de Interesse Social (ATHIS)</t>
  </si>
  <si>
    <t>Fomentar atividades que promovam a arquitetura e urbanismo em Minas Gerais no campo da Assistência Técnica para a Habitação de Interesse Social (Athis).</t>
  </si>
  <si>
    <t>Garantir a representação de colaborador ou dirigente do CAU/MG no desenvolvimento de ações ligadas ao planejamento urbano e temáticas afins.</t>
  </si>
  <si>
    <t>Ampliação da presença do CAU/MG nos debates de planejamento urbano e temáticas afins no estado.</t>
  </si>
  <si>
    <t>Capacitações</t>
  </si>
  <si>
    <t>Garantir a capacitação de colaboradores e dirigentes, melhorando e ampliando a capacidade técnica desses agentes.</t>
  </si>
  <si>
    <t>Capacitação realizada de colaboradores e dirigentes.</t>
  </si>
  <si>
    <t>Manter e Desenvolver as Atividades da Ouvidoria</t>
  </si>
  <si>
    <t>Ampliação da comunicação direta com os profissionais, a fim de propor soluções para demandas críticas e promover melhorias gerais no atendimento.</t>
  </si>
  <si>
    <t>Fortalecer a imagem do CAU/MG e garantir a divulgação das informações da autarquia para a sociedade.</t>
  </si>
  <si>
    <t xml:space="preserve">Manter e Desenvolver as Atividades da Assessoria de Eventos </t>
  </si>
  <si>
    <t>Promover a arquitetura e urbanismo em Minas Gerais através do contato e participação de profissionais e sociedade.</t>
  </si>
  <si>
    <t>Realização de eventos de integração e de esclarecimentos para profissionais e sociedade sobre Arquitetura e Urbanismo.</t>
  </si>
  <si>
    <t>Cumprir as atribuições da Gerência Geral conforme atos administrativos do CAU/MG.</t>
  </si>
  <si>
    <t>Integração das atividades realizadas pelas unidades administrativas do CAU/MG.</t>
  </si>
  <si>
    <t>Ocupar espaço físico qualificado e acessível à sociedade para cumprir a finalidade precípua da autarquia.</t>
  </si>
  <si>
    <t>Ocupação de nova sede que comporte com qualidade seu Quadro de Pessoal projetado, mais atividades e reuniões de seus órgãos colegiados, além de economia financeira com custeios de Sede.</t>
  </si>
  <si>
    <t>Secretaria Geral</t>
  </si>
  <si>
    <t>Cumprir as atribuições da Secretaria Geral conforme atos administrativos do CAU/MG.</t>
  </si>
  <si>
    <t>Documentos e correspondências oficiais elaborados; gestão documental da Presidência realizada; cotação de preços realizada.</t>
  </si>
  <si>
    <t>Cumprir a finalidade precípua do Conselho, garantindo a fiscalização do exercício profissional.</t>
  </si>
  <si>
    <t>Fiscalização Itinerante / Rotas</t>
  </si>
  <si>
    <t>Promover a atuação itinerante do CAU/MG e mesmo as ações de fiscalização que envolvam uso de veículo.</t>
  </si>
  <si>
    <t>Ampliação da atuação da Fiscalização Itinerante do CAU/MG, não apenas nas cidades onde há a presença dos fiscais, mas também em outros municípios mineiros.</t>
  </si>
  <si>
    <t>Garantia do funcionamento do CSC e dos demais Sistemas de Informação a ele vinculados.</t>
  </si>
  <si>
    <t>Manter a regularidade dos registros, anotação de títulos e acervo do profissional.</t>
  </si>
  <si>
    <t>Assegurar o funcionamento do Centro de Serviços Compartilhados e Fundo de Reserva CSC relacionadas ao Atendimento.</t>
  </si>
  <si>
    <t>Manter e Desenvolver as Atividades da Gerência Jurídica</t>
  </si>
  <si>
    <t>Preservar a imagem jurídica do CAU/MG e observar a legalidade dos processos internos.</t>
  </si>
  <si>
    <t>Ajuizamento e defesa em ações do CAU/MG na Justiça; Cumprimento dos expedientes de rotina atribuída à Gerência pelos atos normativos do CAU/MG.</t>
  </si>
  <si>
    <t>Fundo de Apoio aos CAU/UF</t>
  </si>
  <si>
    <t>Assegurar a sustentabilidade financeira do Sistema do CAU, apoiando os CAU/UF básicos.</t>
  </si>
  <si>
    <t>Garantia da sustentabilidade do Fundo de Apoio do CAU.</t>
  </si>
  <si>
    <t>Reserva de Contingência</t>
  </si>
  <si>
    <t>Manter o Fundo para despesas não planejadas.</t>
  </si>
  <si>
    <t>Fomento de despesas extraordinárias do CAU/MG efetivado.</t>
  </si>
  <si>
    <t>Observar a Sustentabilidade Financeira do CAU/MG e acompanhar a execução orçamentária e financeira.</t>
  </si>
  <si>
    <t>Desenvolvimento pleno das rotinas administrativas e financeiras do CAU/MG; Garantia da sustentabilidade financeira do CAU/MG; Elaboração e consolidação das propostas de Programação e Reprogramação Orçamentária.</t>
  </si>
  <si>
    <t>Elaboração dos Planos de Ação; Termos de cooperação técnica com municípios e órgãos públicos; Apoio à Presidência; Acompanhamento dos Indicadores Estratégicos revisados; Elaboração e consolidação das propostas de Programação e Reprogramação Orçamentária; Elaboração e consolidação dos Relatórios de Gestão; Atualização do fluxo de trabalho de processos operacionais padrão (POP).</t>
  </si>
  <si>
    <t>Cumprir a finalidade precípua do Conselho, garantindo a fiscalização do exercício profissional na Regional Norte de Minas.</t>
  </si>
  <si>
    <t>Desenvolvimento das ações de atendimento planejadas para a Regional.</t>
  </si>
  <si>
    <t>Cumprir a finalidade precípua do Conselho, garantindo a fiscalização do exercício profissional na Regional Triângulo Mineiro e Alto Paranaíba.</t>
  </si>
  <si>
    <t>Cumprir a finalidade precípua do Conselho, garantindo a fiscalização do exercício profissional na Regional Zona da Mata e Vertentes.</t>
  </si>
  <si>
    <t>Cumprir a finalidade precípua do Conselho, garantindo a fiscalização do exercício profissional na Regional Sul de Minas.</t>
  </si>
  <si>
    <t>Cumprir a finalidade precípua do Conselho, garantindo a fiscalização do exercício profissional na Regional Leste de Minas.</t>
  </si>
  <si>
    <t>Colegiado das Entidades Estaduais de Arquitetos e Urbanistas do CAU/MG (CEAU)</t>
  </si>
  <si>
    <t>Cumprir as competências do Colegiado conforme Regimento Interno e as ações previstas no seu Plano de Trabalho e no Plano de Ação do CAU/MG.</t>
  </si>
  <si>
    <t>Ações desenvolvidas voltadas à capacitação técnica, valorização profissional e conscientização da sociedade do papel do arquiteto e urbanista; Demandas administrativas relativas ao CEAU realizadas conforme previsões regimentais e pelos normativos do CAU.</t>
  </si>
  <si>
    <t>Fortalecer a relação institucional com as entidades de arquitetos e urbanistas no sentido de fomentar o acesso da sociedade à arquitetura e urbanismo.</t>
  </si>
  <si>
    <t>Lançamento de Edital de Patrocínio e firmar convênios específicos com o objetivo de valorizar a Arquitetura e Urbanismo em Minas Gerais.</t>
  </si>
  <si>
    <t>Promover seleção de colaboradores para o quadro do CAU/MG</t>
  </si>
  <si>
    <t>1.1.1.1.1 Anuidade do Exercício</t>
  </si>
  <si>
    <t>1.1.1.2.1 Anuidade do Exercício</t>
  </si>
  <si>
    <t>Representação Institucional do CAU/MG</t>
  </si>
  <si>
    <t>Capacitação em Regularização Fundiária</t>
  </si>
  <si>
    <t>Gestão Documental do CAU/MG</t>
  </si>
  <si>
    <t>Eventos Institucionais</t>
  </si>
  <si>
    <t>Concurso Público 2024</t>
  </si>
  <si>
    <t>Promover a gestão documental do arquivo do CAU/MG através da contratação de empresa especializada.</t>
  </si>
  <si>
    <t>Custear a participação do CAU/MG em eventos alinhados aos objetivos estratégicos do conselho</t>
  </si>
  <si>
    <t>Manter e Desenvolver as Atividades da CPUA</t>
  </si>
  <si>
    <t>Manter e Desenvolver as Atividades da CATHIS</t>
  </si>
  <si>
    <t>Manter e Desenvolver as Atividades da CPC</t>
  </si>
  <si>
    <t>CSC FISCALIZAÇÃO</t>
  </si>
  <si>
    <t>CSC ATENDIMENTO</t>
  </si>
  <si>
    <t>Edital de Patrocínio- Parceria Entidades de Arquitetos e Urbanistas</t>
  </si>
  <si>
    <t>Elaborar e monitorar atividades do Planejamento Estratégico, incluindo planos de ação e relatórios de gestão. Promover e acompanhar parcerias técnicas com demais órgãos públicos. Atualizar Procedimentos Operacionais Padrão</t>
  </si>
  <si>
    <t>número de municípios  da UF que possuem  Plano Diretor (=327)</t>
  </si>
  <si>
    <t>total de municípios da UF (=853)</t>
  </si>
  <si>
    <t>quantidade de ações de fiscalização realizadas pelo CAU/UF no mês (=1.196)</t>
  </si>
  <si>
    <t>número de ações de fiscalização previstas no Plano de Ação aprovado (=1.595)</t>
  </si>
  <si>
    <t>quantidade de obras e serviços regulares (=598)</t>
  </si>
  <si>
    <t>quantidade de obras e serviços fiscalizados pelo CAU/UF (=1.196)</t>
  </si>
  <si>
    <t>número total de RRT registrados (pagos) por mês (=61.834/12)</t>
  </si>
  <si>
    <t xml:space="preserve"> total de profissionais ativos (=18.651)</t>
  </si>
  <si>
    <t>quantidade de denúncias atendidas (=313)</t>
  </si>
  <si>
    <t>número de denúncias recebidas (=447)</t>
  </si>
  <si>
    <t>quantidade de termos de cooperação técnica e parcerias para racionalização da ações de fiscalização (=9)</t>
  </si>
  <si>
    <t>número de termos e parcerias previstos no Plano de Ação (=15)</t>
  </si>
  <si>
    <t>quantidade mensal de ações de fiscalização realizada (=1.196)</t>
  </si>
  <si>
    <t>número de horas de fiscalização mensal (=2.990)</t>
  </si>
  <si>
    <t>Número de solicitações tratadas no prazo estipulado pela Carta de Serviços no trimestre (=27.758)</t>
  </si>
  <si>
    <t>Número de solicitações abertas no trimestre (=27.758)</t>
  </si>
  <si>
    <t>número de usuários satisfeitos com a solução da demanda (=840)</t>
  </si>
  <si>
    <t>número de usuários que responderam a pesquisa (=894)</t>
  </si>
  <si>
    <t>Quantidade de participantes presentes (= 864)</t>
  </si>
  <si>
    <t>quantidade de participantes previstas no Plano de Ação Aprovado (= 1.440)</t>
  </si>
  <si>
    <t>custos totais dos eventos (=13.000)</t>
  </si>
  <si>
    <t>quantidade de participantes presentes (=1.440)</t>
  </si>
  <si>
    <t>número de pessoas atingida pelo material produzido e distribuído (=2.820)</t>
  </si>
  <si>
    <t>quantidade de material informativo produzido (=4.196)</t>
  </si>
  <si>
    <t>número de ações com participação do CAU/UF (=9)</t>
  </si>
  <si>
    <t>número de inserções na mídia em geral onde o CAU/UF foi citado (=42)</t>
  </si>
  <si>
    <t>total de notícias sobre questões de Arquitetura e Urbanismo (=600)</t>
  </si>
  <si>
    <t>número de inserções positivas do CAU/UF na mídia (=14)</t>
  </si>
  <si>
    <t>total de inserções do CAU na mídia (=15)</t>
  </si>
  <si>
    <t>número de processos éticos concluídos em um ano (=11)</t>
  </si>
  <si>
    <t>número total de processos éticos abertos (=48)</t>
  </si>
  <si>
    <t>tempo médio de conclusão de processos éticos (=565,45)</t>
  </si>
  <si>
    <t>tempo máximo para conclusão de processo (=730)</t>
  </si>
  <si>
    <t>total de RRT na UF (=61.834)</t>
  </si>
  <si>
    <t>população total da UF/1000 habitantes (=20.538.718/1000)</t>
  </si>
  <si>
    <t>RRT mínima (=1.484)</t>
  </si>
  <si>
    <t>RRT Social (=124)</t>
  </si>
  <si>
    <t>número de processos mapeados (=67)</t>
  </si>
  <si>
    <t>total de processos existentes (=67)</t>
  </si>
  <si>
    <t>número de processos normatizados (=48)</t>
  </si>
  <si>
    <t>horas totais de treinamento (=1.672)</t>
  </si>
  <si>
    <t>número total de colaboradores e dirigentes (=53)</t>
  </si>
  <si>
    <t xml:space="preserve">total de iniciativas executadas  (=165)                                                                     </t>
  </si>
  <si>
    <t xml:space="preserve">total de iniciativas planejadas (=253)                                                                                  </t>
  </si>
  <si>
    <t>número de usuários internos satisfeitos com a tecnologia (=40)</t>
  </si>
  <si>
    <t>total de usuários internos que participaram da pesquisa (=50)</t>
  </si>
  <si>
    <t>número de usuários externos satisfeitos com a tecnologia (=817)</t>
  </si>
  <si>
    <t>total de usuários externos que participaram da pesquisa (=894)</t>
  </si>
  <si>
    <t>receita corrente (R$ 15.767.683,31)</t>
  </si>
  <si>
    <t>total de profissionais ativos (19.513)</t>
  </si>
  <si>
    <t>passivo circulante (R$ 1.390.341,56)</t>
  </si>
  <si>
    <t>custo total de pessoal (R$ 9.745.604,05)</t>
  </si>
  <si>
    <t>total de profissionais inadimplentes (5.639)</t>
  </si>
  <si>
    <t>total de empresas ativas (2.346)</t>
  </si>
  <si>
    <t>total de empresas inadimplentes (1.065)</t>
  </si>
  <si>
    <t>ativo circulante (R$ 27.402.670,27)</t>
  </si>
  <si>
    <t>Manter e Desenvolver as Atividades do Colegiado das Entidades Estaduais CEAU</t>
  </si>
  <si>
    <t>Manter e Desenvolver as Atividades da Ger. Esp. de Planejamento e Gestão Estratégica</t>
  </si>
  <si>
    <t>Manter e Desenvolver as Atividades da Comissão de Organização e Administração</t>
  </si>
  <si>
    <t>Manter e Desenvolver as Atividades do Escritório Descentralizado Norte de Minas</t>
  </si>
  <si>
    <t>Manter e Desenvolver as Atividades do Esc. Descentralizado Triâng. Min. e Alto Paranaíba</t>
  </si>
  <si>
    <t>Manter e Desenvolver as Atividades Escritório Descentralizado Zona da Mata e Vertentes</t>
  </si>
  <si>
    <t>Manter e Desenvolver as Atividades do Escritório Descentralizado Sul de Minas</t>
  </si>
  <si>
    <t>Manter e Desenvolver as Atividades do Escritório Descentralizado Leste de Minas</t>
  </si>
  <si>
    <t>Manter e Desenvolver as Atividades da Assessoria de Comunicação</t>
  </si>
  <si>
    <t>Manter e Desenvolver as Atividades da Gerência Geral</t>
  </si>
  <si>
    <t>Manter e Desenvolver as Atividades da Secretaria Geral</t>
  </si>
  <si>
    <t>Promover a formação continuada dos(as) profissionais de Arquitetura e Urbanismo, e promover a difusão de conhecimentos quanto a regularização fundiária nos termos da legislação vigente.</t>
  </si>
  <si>
    <r>
      <t>Capacitação</t>
    </r>
    <r>
      <rPr>
        <b/>
        <sz val="12"/>
        <color indexed="10"/>
        <rFont val="Calibri"/>
        <family val="2"/>
        <scheme val="minor"/>
      </rPr>
      <t xml:space="preserve"> 
</t>
    </r>
    <r>
      <rPr>
        <b/>
        <sz val="12"/>
        <color rgb="FFFF0000"/>
        <rFont val="Calibri"/>
        <family val="2"/>
        <scheme val="minor"/>
      </rPr>
      <t>(mínimo de 2%  da Folha de Pagamento)</t>
    </r>
  </si>
  <si>
    <t>total de RRT na UF (=63.896)</t>
  </si>
  <si>
    <t>Zelar pelo aperfeiçoamento da formação em Arquitetura e Urbanismo, cumprir as competências da Comissão conforme Regimento Interno e as ações previstas no seu Plano de Trabalho e no Plano de Ação do CAU/MG.</t>
  </si>
  <si>
    <t>Zelar pelo cumprimento do Código de Ética e Disciplina do Conselho de Arquitetura e Urbanismo do Brasil, cumprir as competências da Comissão conforme Regimento Internoe as ações previstas no seu Plano de Trabalho e no Plano de Ação do CAU/MG.</t>
  </si>
  <si>
    <t>Zelar pela orientação e fiscalização do exercício da Arquitetura e Urbanismocumprir as competências da Comissão conforme Regimento Interno e as ações previstas no seu Plano de Trabalho e no Plano de Ação do CAU/MG.</t>
  </si>
  <si>
    <t>Zelar pelo planejamento e pelo equilíbrio econômico, financeiro e contábil do CAU/MG, cumprir as competências da Comissão conforme Regimento Interno e as ações previstas no seu Plano de Trabalho e no Plano de Ação do CAU/MG.</t>
  </si>
  <si>
    <t>Zelar pelo funcionamento do CAU/MG, em suas organizações e administrações, cumprir as competências da Comissão conforme Regimento Interno e as ações previstas no seu Plano de Trabalho e no Plano de Ação do CAU/MG.</t>
  </si>
  <si>
    <t>Zelar pelo planejamento territorial, defender a participação dos arquitetos e urbanistas na gestão urbana e ambiental, e estimular a produção da Arquitetura e Urbanismo como política de Estado, cumprir as competências da Comissão conforme Regimento Interno e as ações previstas no seu Plano de Trabalho e no Plano de Ação do CAU/MG.</t>
  </si>
  <si>
    <t>Promover ações relacionadas à política de assistência técnica pública e gratuita com o intuito de promover o acesso de todos à Arquitetura e Urbanismo, cumprir as competências da Comissão conforme Regimento Interno e as ações previstas no seu Plano de Trabalho e no Plano de Ação do CAU/MG.</t>
  </si>
  <si>
    <t>Zelar pela preservação do patrimônio cultural como política de Estado, defender a participação dos arquitetos e urbanistas na atuação direta e sua gestão, cumprir as competências da Comissão conforme Regimento Interno e as ações previstas no seu Plano de Trabalho e no Plano de Ação do CAU/MG.</t>
  </si>
  <si>
    <t>MAPA ESTRATÉGICO CAU/MG</t>
  </si>
  <si>
    <t>Anexo 1 - Demonstrativo de Fontes e Aplicações - Reprogramação 2024</t>
  </si>
  <si>
    <t>Programação
 2023
 (A)</t>
  </si>
  <si>
    <t>Programação
 2024
 (A)</t>
  </si>
  <si>
    <t>Maio/Dez  (C)</t>
  </si>
  <si>
    <t>Reprogramação
 2024
  (B)</t>
  </si>
  <si>
    <t>Manter e Desenvolver as Atividades do Conselho Diretor</t>
  </si>
  <si>
    <t>Chefia de Gabinete</t>
  </si>
  <si>
    <t>Manter e Desenvolver a Secretaria do Plenário e Órgãos Colegiados</t>
  </si>
  <si>
    <t>Manter e Desenvolver as Atividades da Gerência de Fiscalização</t>
  </si>
  <si>
    <t xml:space="preserve">Manter e Desenvolver as Atividades da Gerência Técnica </t>
  </si>
  <si>
    <t>Gerência Técnica</t>
  </si>
  <si>
    <t xml:space="preserve">Gerência de Fiscalização </t>
  </si>
  <si>
    <t xml:space="preserve">Gerência Geral </t>
  </si>
  <si>
    <t>Gerência Geral</t>
  </si>
  <si>
    <t>Manter e Desenvolver as Atividades da Gerência Administrativa</t>
  </si>
  <si>
    <t>Manter e Desenvolver as Atividades da Gerência Financeira</t>
  </si>
  <si>
    <t>Gerência Financeira</t>
  </si>
  <si>
    <t>Manter e Desenvolver as atividades da Assessoria Técnica</t>
  </si>
  <si>
    <t>Manter e Desenvolver as Atividades da Assessoria de Imprensa</t>
  </si>
  <si>
    <t>Manter e Desenvolver as Atividades dos Escritórios Novos</t>
  </si>
  <si>
    <t>Reprogramação 2024</t>
  </si>
  <si>
    <t>Plenário dos Conselheiros</t>
  </si>
  <si>
    <t>Gerência Administrativa</t>
  </si>
  <si>
    <t>Manter e Desenvolver as atividades da Chefia de Gabinete</t>
  </si>
  <si>
    <t>Manter e Desenvolver as Atividades da Gerência Administrativa e Financeira</t>
  </si>
  <si>
    <t>Execução Jan/Abril
 (B)</t>
  </si>
  <si>
    <t>Projetado Maio/Dez
 (C )</t>
  </si>
  <si>
    <t>Programação
 2024
(A)</t>
  </si>
  <si>
    <t>Reprogramação
 2024
(D)</t>
  </si>
  <si>
    <t xml:space="preserve">A custear com Recursos do
Superávit Financeiro
 (E) </t>
  </si>
  <si>
    <t xml:space="preserve">Variação (2024/2024) </t>
  </si>
  <si>
    <t xml:space="preserve"> Valor
(F=D-A)</t>
  </si>
  <si>
    <t>% 
(G= F/A *100)</t>
  </si>
  <si>
    <t>LEGENDA: P = PROJETO/ A = ATIVIDADE/ PE = PROJETO ESPECÍFICO / FA = FUNDO DE APOIO</t>
  </si>
  <si>
    <t>2. COMENTÁRIOS/JUSTIFICATIVAS:</t>
  </si>
  <si>
    <t>AT/N/R/E/C</t>
  </si>
  <si>
    <t>R</t>
  </si>
  <si>
    <t>AT</t>
  </si>
  <si>
    <t>E</t>
  </si>
  <si>
    <t>N</t>
  </si>
  <si>
    <t>Edital de Patrocínio na Modalidade Política Urbana</t>
  </si>
  <si>
    <t>Edital de Patrocínio Modalidade Patrimônio Cultural</t>
  </si>
  <si>
    <t>Mudança e Adequações da Nova Sede e Escritórios Descentralizados do CAU/MG</t>
  </si>
  <si>
    <t>Executar as atividades de suporte administrativo e Representação da Presidência; Chefiar as Assessorias relacionadas ao Gabinete e as Assessorias das Comissões Permanentes e Especiais; Fazer a interlocução técnica, política e administrativa, do Gabinete com as demais áreas do CAU/MG.</t>
  </si>
  <si>
    <t>Planejar, organizar e supervisionar a equipe que compõe a Gerência Técnica com base na
Lei Federal 12.378, Resoluções do CAU/BR e normativos do CAU/MG, fazendo cumprir as
normas de trabalho, com eficiência, agilidade e isonomia.  Assessorar a elaboração de Plano de Fiscalização e das atividades correlatas junto à equipe e Comissão de Exercício Profissional, utilizando de parcerias com outras instituições e demais CAU/UF; Prestar suporte à Comissão de Exercício Profissional e, quando necessário, a Comissão de Ética e Disciplina.</t>
  </si>
  <si>
    <t>Executar e acompanhar as atividades e o relacionamento do CAU/MG com a imprensa, com atribuições de: divulgar ações em conjunto com a Assessoria de Comunicação; Produzir matérias e notas a serem enviadas para a imprensa; Assegurar a qualidade, exatidão e tempestividade das informações prestadas à imprensa; coordenar as atividades de divulgação jornalística; monitorar as publicações relacionadas ao CAU/MG nos meios de comunicação.</t>
  </si>
  <si>
    <t>Organizar as reuniões, realizar agendamentos, convocações, disponibilização da pauta e respectiva documentação, acompanhar as confirmações, organização da infraestrutura, confecção de atas e súmulas de reuniões e publicações. Manter a documentação e os Contatos dos Conselheiros atualizados; Redigir ofícios, relatórios e outros documentos da Plenária e Colegiado de Entidades.</t>
  </si>
  <si>
    <t>Desenvolvimento pleno das rotinas financeiras do CAU/MG; Garantia da sustentabilidade financeira do CAU/MG; Elaboração e consolidação das propostas de Programação e Reprogramação Orçamentária.</t>
  </si>
  <si>
    <t>Zelar pela manutenção da Sede e de suas Regionais; Gerenciar a área de compras,
contratações e demais aquisições; Gerenciar as atividades de Recursos Humanos; Interface
com a área jurídica nos processos de licitação; Gerenciar e executar as atividades de
administração de material e de controle do patrimônio mobiliário e imobiliário; Gerenciar
contratos e convênios; Gerir os arquivos do Conselho; Gerir os equipamentos de TI do Conselho; Gerir os Softwares licenciados ou de propriedade do Conselho; Gerir a rede
física e a rede lógica; Gerir a Segurança da Informação; Implementar as melhores
práticas de TI; Promover automatização de processos com uso de tecnologia.</t>
  </si>
  <si>
    <t>Assessora a Presidência e as Comissões no que se refere a implementação de ações vinculadas aos objetivos estratégicos do CAU; Acompanhamento de todo o processo de tramitação dos Editais de Apoio e Premiação publicados pelo CAU/MG, desde a elaboração do Edital até o acompanhamento do resultado das ações e prestação de contas.</t>
  </si>
  <si>
    <t>Seleção de empregados para composição do quadro técnico do CAU/MG.</t>
  </si>
  <si>
    <t>Desenvolvimento das ações de atendimento planejadas para novas Regionais.</t>
  </si>
  <si>
    <t>Planejar, organizar e supervisionar a equipe que compõe a Gerência Técnica com base na
Lei Federal 12.378, Resoluções do CAU/BR e normativos do CAU/MG, fazendo cumprir as
normas de trabalho, com eficiência, agilidade e isonomia.  Prestar orientação técnica aos
funcionários, conselheiros, profissionais, contratantes e sociedade em geral, sobre
Registro de Responsabilidade Técnica (RRT), Certidão de Acervo Técnico com Atestado,
atribuições profissionais, e demais assuntos relacionados à profissão de Arquitetura e
Urbanismo.</t>
  </si>
  <si>
    <t>Acompanhamento da produção, desenvolvimento e distribuição de cartilhas e divulgação de campanhas; Demandas administrativas relativas a Assessoria de Comunicação.</t>
  </si>
  <si>
    <t>Divulgação do  o conselho, suas atribuições e realizações em eventos externo ao CAU/MG.</t>
  </si>
  <si>
    <t>Execução do processo licitatório e contrato firmado com a empresa selecionada.</t>
  </si>
  <si>
    <t>Preenchimento de todas as vagas disponíveis e a realização do Curso.</t>
  </si>
  <si>
    <t xml:space="preserve">Lançamento de Edital e Premiação dos trabalhos que promovam a Arquitetura e Urbanismo no campo da Política Urbana e Ambiental.
</t>
  </si>
  <si>
    <t>Fortalecer a relação entre o presidente e o Plenário, estabelecendo a integração com as comissões e auxiliando-o nos atos relativos ao exercício da Presidência.</t>
  </si>
  <si>
    <t>Cumprir a finalidade precípua do Conselho, garantindo a fiscalização do exercício profissional em mais regionais do Estado.</t>
  </si>
  <si>
    <t>Zelar pela manutenção da Sede e de suas regionais, gerenciar a área de compras e as Atividades dos Recursos Humanos.</t>
  </si>
  <si>
    <t>Programação 2024</t>
  </si>
  <si>
    <t>Execução Jan/Abril (B)</t>
  </si>
  <si>
    <t>Projetado Maio/Dez (C)</t>
  </si>
  <si>
    <t>Programação 
2024
(A)</t>
  </si>
  <si>
    <t>Reprogramação 
2024 
(B)</t>
  </si>
  <si>
    <t>RESUMO DA REPROGRAMAÇÃO 2024 - POR CATEGORIA ECONÔMICA</t>
  </si>
  <si>
    <t>PLANO DE AÇÃO - REPROGRAMAÇÃO  2024</t>
  </si>
  <si>
    <t>Rerogramação 
2024 
(B)</t>
  </si>
  <si>
    <t>I - Superávit financeiro acumulado em 2023</t>
  </si>
  <si>
    <t>Anexo 2 - Limites de Aplicação dos Recursos Estratégicos - Reprogramação 2024</t>
  </si>
  <si>
    <t>Anexo 3- Aplicações por Projetos/Atividades - por Elementos de Despesas (Consolidado) - Reprogramação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</si>
</sst>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\-&quot;R$&quot;#,##0.00"/>
    <numFmt numFmtId="165" formatCode="&quot;R$&quot;#,##0.00;[Red]\-&quot;R$&quot;#,##0.00"/>
    <numFmt numFmtId="166" formatCode="_(* #,##0.00_);_(* \(#,##0.00\);_(* &quot;-&quot;??_);_(@_)"/>
    <numFmt numFmtId="167" formatCode="0.0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_-&quot;R$&quot;\ * #,##0_-;\-&quot;R$&quot;\ * #,##0_-;_-&quot;R$&quot;\ * &quot;-&quot;??_-;_-@_-"/>
    <numFmt numFmtId="173" formatCode="#,##0.0"/>
    <numFmt numFmtId="174" formatCode="&quot;R$&quot;\ #,##0.00"/>
    <numFmt numFmtId="175" formatCode="&quot;R$&quot;#,##0.00000000000;[Red]\-&quot;R$&quot;#,##0.00000000000"/>
    <numFmt numFmtId="176" formatCode="_-* #,##0.00_-;\-* #,##0.00_-;_-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20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"/>
      <family val="2"/>
    </font>
    <font>
      <b/>
      <sz val="12"/>
      <name val="Calibri"/>
      <family val="2"/>
    </font>
    <font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sz val="12"/>
      <color indexed="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rial"/>
      <family val="2"/>
    </font>
    <font>
      <sz val="12"/>
      <color rgb="FFFF0000"/>
      <name val="Arial"/>
      <family val="2"/>
    </font>
    <font>
      <b/>
      <strike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000000"/>
      </patternFill>
    </fill>
    <fill>
      <patternFill patternType="solid">
        <fgColor rgb="FF2A5664"/>
        <bgColor indexed="64"/>
      </patternFill>
    </fill>
    <fill>
      <patternFill patternType="solid">
        <fgColor rgb="FF006666"/>
        <bgColor indexed="64"/>
      </patternFill>
    </fill>
    <fill>
      <patternFill patternType="darkGrid">
        <bgColor theme="0"/>
      </patternFill>
    </fill>
    <fill>
      <patternFill patternType="solid">
        <fgColor theme="9" tint="-0.249977111117893"/>
        <bgColor indexed="64"/>
      </patternFill>
    </fill>
    <fill>
      <patternFill patternType="darkTrellis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30053"/>
        <bgColor indexed="64"/>
      </patternFill>
    </fill>
    <fill>
      <patternFill patternType="solid">
        <fgColor rgb="FFFF6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FA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172" fontId="10" fillId="0" borderId="0" applyBorder="0" applyProtection="0"/>
  </cellStyleXfs>
  <cellXfs count="37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16" fillId="2" borderId="0" xfId="0" applyFont="1" applyFill="1"/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170" fontId="0" fillId="0" borderId="0" xfId="2" applyNumberFormat="1" applyFont="1"/>
    <xf numFmtId="171" fontId="0" fillId="0" borderId="0" xfId="2" applyNumberFormat="1" applyFont="1"/>
    <xf numFmtId="166" fontId="0" fillId="0" borderId="0" xfId="2" applyFont="1" applyFill="1" applyBorder="1"/>
    <xf numFmtId="166" fontId="0" fillId="0" borderId="0" xfId="2" applyFont="1"/>
    <xf numFmtId="166" fontId="8" fillId="0" borderId="0" xfId="2" applyFont="1"/>
    <xf numFmtId="166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1" applyNumberFormat="1" applyFont="1"/>
    <xf numFmtId="43" fontId="0" fillId="0" borderId="0" xfId="0" applyNumberFormat="1"/>
    <xf numFmtId="170" fontId="0" fillId="0" borderId="0" xfId="2" applyNumberFormat="1" applyFont="1" applyAlignment="1">
      <alignment horizontal="center"/>
    </xf>
    <xf numFmtId="166" fontId="0" fillId="5" borderId="0" xfId="2" applyFont="1" applyFill="1"/>
    <xf numFmtId="0" fontId="33" fillId="2" borderId="0" xfId="0" applyFont="1" applyFill="1"/>
    <xf numFmtId="166" fontId="3" fillId="0" borderId="0" xfId="2" applyFont="1" applyAlignment="1">
      <alignment horizontal="center"/>
    </xf>
    <xf numFmtId="17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66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6" fontId="2" fillId="10" borderId="1" xfId="2" applyFont="1" applyFill="1" applyBorder="1" applyAlignment="1" applyProtection="1">
      <alignment horizontal="center" vertical="center"/>
      <protection locked="0"/>
    </xf>
    <xf numFmtId="166" fontId="3" fillId="2" borderId="1" xfId="2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2" fillId="3" borderId="1" xfId="2" applyFont="1" applyFill="1" applyBorder="1" applyAlignment="1" applyProtection="1">
      <alignment horizontal="center" vertical="center" wrapText="1"/>
      <protection locked="0"/>
    </xf>
    <xf numFmtId="166" fontId="3" fillId="3" borderId="1" xfId="2" applyFont="1" applyFill="1" applyBorder="1" applyAlignment="1" applyProtection="1">
      <alignment horizontal="center" vertical="center" wrapText="1"/>
      <protection locked="0"/>
    </xf>
    <xf numFmtId="166" fontId="2" fillId="3" borderId="1" xfId="2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0" fillId="0" borderId="0" xfId="0" applyNumberFormat="1"/>
    <xf numFmtId="49" fontId="0" fillId="0" borderId="0" xfId="2" applyNumberFormat="1" applyFont="1" applyFill="1" applyBorder="1"/>
    <xf numFmtId="49" fontId="0" fillId="0" borderId="0" xfId="2" applyNumberFormat="1" applyFont="1"/>
    <xf numFmtId="49" fontId="8" fillId="0" borderId="0" xfId="2" applyNumberFormat="1" applyFont="1"/>
    <xf numFmtId="166" fontId="33" fillId="0" borderId="0" xfId="2" applyFont="1"/>
    <xf numFmtId="0" fontId="0" fillId="2" borderId="0" xfId="0" applyFill="1" applyAlignment="1">
      <alignment vertical="top" wrapText="1"/>
    </xf>
    <xf numFmtId="0" fontId="3" fillId="0" borderId="0" xfId="11" applyFont="1" applyAlignment="1">
      <alignment horizontal="left" vertical="center"/>
    </xf>
    <xf numFmtId="166" fontId="3" fillId="12" borderId="1" xfId="2" applyFont="1" applyFill="1" applyBorder="1" applyAlignment="1" applyProtection="1">
      <alignment horizontal="center" vertical="center" wrapText="1"/>
      <protection locked="0"/>
    </xf>
    <xf numFmtId="0" fontId="36" fillId="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166" fontId="32" fillId="2" borderId="0" xfId="2" applyFont="1" applyFill="1" applyAlignment="1">
      <alignment vertical="center" wrapText="1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6" borderId="1" xfId="3" applyFont="1" applyFill="1" applyBorder="1" applyAlignment="1" applyProtection="1">
      <alignment horizontal="center" wrapText="1"/>
      <protection locked="0"/>
    </xf>
    <xf numFmtId="0" fontId="16" fillId="6" borderId="1" xfId="3" applyFont="1" applyFill="1" applyBorder="1" applyAlignment="1" applyProtection="1">
      <alignment horizontal="center" vertical="top" wrapText="1"/>
      <protection locked="0"/>
    </xf>
    <xf numFmtId="0" fontId="16" fillId="2" borderId="1" xfId="3" applyFont="1" applyFill="1" applyBorder="1" applyAlignment="1" applyProtection="1">
      <alignment horizontal="center" wrapText="1"/>
      <protection locked="0"/>
    </xf>
    <xf numFmtId="0" fontId="16" fillId="2" borderId="1" xfId="3" applyFont="1" applyFill="1" applyBorder="1" applyAlignment="1" applyProtection="1">
      <alignment horizontal="center" vertical="top" wrapText="1"/>
      <protection locked="0"/>
    </xf>
    <xf numFmtId="3" fontId="1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7" fillId="8" borderId="1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0" fontId="0" fillId="0" borderId="0" xfId="2" applyNumberFormat="1" applyFont="1" applyFill="1" applyBorder="1"/>
    <xf numFmtId="0" fontId="3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1" fontId="2" fillId="2" borderId="0" xfId="0" applyNumberFormat="1" applyFont="1" applyFill="1" applyAlignment="1" applyProtection="1">
      <alignment horizontal="center" vertical="center" wrapText="1"/>
      <protection locked="0"/>
    </xf>
    <xf numFmtId="169" fontId="2" fillId="2" borderId="0" xfId="2" applyNumberFormat="1" applyFont="1" applyFill="1" applyBorder="1" applyAlignment="1" applyProtection="1">
      <alignment vertical="center" wrapText="1"/>
      <protection locked="0"/>
    </xf>
    <xf numFmtId="166" fontId="2" fillId="2" borderId="0" xfId="2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textRotation="90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69" fontId="2" fillId="2" borderId="0" xfId="2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171" fontId="2" fillId="3" borderId="1" xfId="2" applyNumberFormat="1" applyFont="1" applyFill="1" applyBorder="1" applyAlignment="1" applyProtection="1">
      <alignment horizontal="right" vertical="center" wrapText="1"/>
    </xf>
    <xf numFmtId="168" fontId="2" fillId="3" borderId="1" xfId="2" applyNumberFormat="1" applyFont="1" applyFill="1" applyBorder="1" applyAlignment="1" applyProtection="1">
      <alignment horizontal="right" vertical="center" wrapText="1"/>
    </xf>
    <xf numFmtId="168" fontId="2" fillId="3" borderId="1" xfId="1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168" fontId="20" fillId="0" borderId="1" xfId="1" applyNumberFormat="1" applyFont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0" fontId="9" fillId="14" borderId="0" xfId="0" applyFont="1" applyFill="1" applyProtection="1">
      <protection locked="0"/>
    </xf>
    <xf numFmtId="0" fontId="17" fillId="15" borderId="1" xfId="0" applyFont="1" applyFill="1" applyBorder="1" applyAlignment="1" applyProtection="1">
      <alignment horizontal="left" vertical="center" wrapText="1"/>
      <protection locked="0"/>
    </xf>
    <xf numFmtId="0" fontId="17" fillId="15" borderId="1" xfId="0" applyFont="1" applyFill="1" applyBorder="1" applyAlignment="1" applyProtection="1">
      <alignment horizontal="center" vertical="center" wrapText="1"/>
      <protection locked="0"/>
    </xf>
    <xf numFmtId="0" fontId="9" fillId="15" borderId="0" xfId="0" applyFont="1" applyFill="1" applyProtection="1">
      <protection locked="0"/>
    </xf>
    <xf numFmtId="41" fontId="17" fillId="15" borderId="1" xfId="0" applyNumberFormat="1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vertical="center" wrapText="1"/>
    </xf>
    <xf numFmtId="0" fontId="24" fillId="15" borderId="1" xfId="0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left" vertical="center" wrapText="1"/>
    </xf>
    <xf numFmtId="0" fontId="18" fillId="15" borderId="1" xfId="0" applyFont="1" applyFill="1" applyBorder="1" applyAlignment="1" applyProtection="1">
      <alignment horizontal="center" vertical="center" wrapText="1"/>
      <protection locked="0"/>
    </xf>
    <xf numFmtId="49" fontId="14" fillId="15" borderId="14" xfId="2" applyNumberFormat="1" applyFont="1" applyFill="1" applyBorder="1" applyAlignment="1">
      <alignment horizontal="center" vertical="center" wrapText="1"/>
    </xf>
    <xf numFmtId="49" fontId="14" fillId="15" borderId="19" xfId="2" applyNumberFormat="1" applyFont="1" applyFill="1" applyBorder="1" applyAlignment="1">
      <alignment horizontal="center" vertical="center" wrapText="1"/>
    </xf>
    <xf numFmtId="166" fontId="14" fillId="15" borderId="18" xfId="2" applyFont="1" applyFill="1" applyBorder="1" applyAlignment="1">
      <alignment horizontal="center" vertical="center" wrapText="1"/>
    </xf>
    <xf numFmtId="170" fontId="14" fillId="15" borderId="16" xfId="2" applyNumberFormat="1" applyFont="1" applyFill="1" applyBorder="1" applyAlignment="1">
      <alignment horizontal="center" vertical="center"/>
    </xf>
    <xf numFmtId="171" fontId="14" fillId="15" borderId="14" xfId="2" applyNumberFormat="1" applyFont="1" applyFill="1" applyBorder="1" applyAlignment="1">
      <alignment horizontal="center" vertical="center" wrapText="1"/>
    </xf>
    <xf numFmtId="170" fontId="14" fillId="15" borderId="14" xfId="2" applyNumberFormat="1" applyFont="1" applyFill="1" applyBorder="1" applyAlignment="1">
      <alignment horizontal="center" vertical="center" wrapText="1"/>
    </xf>
    <xf numFmtId="170" fontId="14" fillId="15" borderId="16" xfId="2" applyNumberFormat="1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41" fontId="2" fillId="17" borderId="1" xfId="0" applyNumberFormat="1" applyFont="1" applyFill="1" applyBorder="1" applyAlignment="1">
      <alignment horizontal="center" vertical="center" wrapText="1"/>
    </xf>
    <xf numFmtId="41" fontId="2" fillId="16" borderId="1" xfId="0" applyNumberFormat="1" applyFont="1" applyFill="1" applyBorder="1" applyAlignment="1">
      <alignment horizontal="center" vertical="center" wrapText="1"/>
    </xf>
    <xf numFmtId="4" fontId="17" fillId="15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wrapText="1"/>
      <protection locked="0"/>
    </xf>
    <xf numFmtId="165" fontId="3" fillId="2" borderId="1" xfId="2" applyNumberFormat="1" applyFont="1" applyFill="1" applyBorder="1" applyAlignment="1" applyProtection="1">
      <alignment vertical="center" wrapText="1"/>
      <protection locked="0"/>
    </xf>
    <xf numFmtId="165" fontId="17" fillId="15" borderId="1" xfId="2" applyNumberFormat="1" applyFont="1" applyFill="1" applyBorder="1" applyAlignment="1" applyProtection="1">
      <alignment vertical="center" wrapText="1"/>
    </xf>
    <xf numFmtId="168" fontId="17" fillId="15" borderId="1" xfId="2" applyNumberFormat="1" applyFont="1" applyFill="1" applyBorder="1" applyAlignment="1" applyProtection="1">
      <alignment vertical="center" wrapText="1"/>
    </xf>
    <xf numFmtId="168" fontId="17" fillId="15" borderId="1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Alignment="1" applyProtection="1">
      <alignment wrapText="1"/>
      <protection locked="0"/>
    </xf>
    <xf numFmtId="165" fontId="2" fillId="3" borderId="1" xfId="2" applyNumberFormat="1" applyFont="1" applyFill="1" applyBorder="1" applyAlignment="1" applyProtection="1">
      <alignment vertical="center" wrapText="1"/>
    </xf>
    <xf numFmtId="165" fontId="2" fillId="3" borderId="1" xfId="2" applyNumberFormat="1" applyFont="1" applyFill="1" applyBorder="1" applyAlignment="1" applyProtection="1">
      <alignment vertical="center"/>
    </xf>
    <xf numFmtId="168" fontId="2" fillId="3" borderId="1" xfId="1" applyNumberFormat="1" applyFont="1" applyFill="1" applyBorder="1" applyAlignment="1" applyProtection="1">
      <alignment vertical="center" wrapText="1"/>
    </xf>
    <xf numFmtId="168" fontId="2" fillId="3" borderId="1" xfId="2" applyNumberFormat="1" applyFont="1" applyFill="1" applyBorder="1" applyAlignment="1" applyProtection="1">
      <alignment vertical="center" wrapText="1"/>
    </xf>
    <xf numFmtId="165" fontId="2" fillId="5" borderId="1" xfId="2" applyNumberFormat="1" applyFont="1" applyFill="1" applyBorder="1" applyAlignment="1" applyProtection="1">
      <alignment vertical="center" wrapText="1"/>
    </xf>
    <xf numFmtId="165" fontId="2" fillId="5" borderId="1" xfId="2" applyNumberFormat="1" applyFont="1" applyFill="1" applyBorder="1" applyAlignment="1" applyProtection="1">
      <alignment vertical="center" wrapText="1"/>
      <protection locked="0"/>
    </xf>
    <xf numFmtId="165" fontId="20" fillId="5" borderId="1" xfId="2" applyNumberFormat="1" applyFont="1" applyFill="1" applyBorder="1" applyAlignment="1" applyProtection="1">
      <alignment horizontal="right" vertical="center" wrapText="1"/>
    </xf>
    <xf numFmtId="168" fontId="2" fillId="5" borderId="1" xfId="2" applyNumberFormat="1" applyFont="1" applyFill="1" applyBorder="1" applyAlignment="1" applyProtection="1">
      <alignment vertical="center" wrapText="1"/>
    </xf>
    <xf numFmtId="168" fontId="24" fillId="15" borderId="1" xfId="2" applyNumberFormat="1" applyFont="1" applyFill="1" applyBorder="1" applyAlignment="1" applyProtection="1">
      <alignment vertical="center"/>
    </xf>
    <xf numFmtId="39" fontId="24" fillId="15" borderId="1" xfId="0" applyNumberFormat="1" applyFont="1" applyFill="1" applyBorder="1" applyAlignment="1">
      <alignment vertical="center"/>
    </xf>
    <xf numFmtId="164" fontId="24" fillId="15" borderId="1" xfId="2" applyNumberFormat="1" applyFont="1" applyFill="1" applyBorder="1" applyAlignment="1" applyProtection="1">
      <alignment vertical="center"/>
    </xf>
    <xf numFmtId="164" fontId="24" fillId="15" borderId="1" xfId="2" applyNumberFormat="1" applyFont="1" applyFill="1" applyBorder="1" applyAlignment="1" applyProtection="1">
      <alignment horizontal="right" vertical="center" wrapText="1"/>
    </xf>
    <xf numFmtId="165" fontId="30" fillId="3" borderId="1" xfId="2" applyNumberFormat="1" applyFont="1" applyFill="1" applyBorder="1" applyAlignment="1" applyProtection="1">
      <alignment horizontal="right" vertical="center" wrapText="1"/>
    </xf>
    <xf numFmtId="165" fontId="30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30" fillId="4" borderId="1" xfId="2" applyNumberFormat="1" applyFont="1" applyFill="1" applyBorder="1" applyAlignment="1" applyProtection="1">
      <alignment horizontal="right" vertical="center" wrapText="1"/>
    </xf>
    <xf numFmtId="165" fontId="17" fillId="15" borderId="1" xfId="2" applyNumberFormat="1" applyFont="1" applyFill="1" applyBorder="1" applyAlignment="1" applyProtection="1">
      <alignment horizontal="right" vertical="center" wrapText="1"/>
    </xf>
    <xf numFmtId="168" fontId="17" fillId="15" borderId="1" xfId="2" applyNumberFormat="1" applyFont="1" applyFill="1" applyBorder="1" applyAlignment="1" applyProtection="1">
      <alignment horizontal="right" vertical="center" wrapText="1"/>
    </xf>
    <xf numFmtId="168" fontId="30" fillId="4" borderId="1" xfId="2" applyNumberFormat="1" applyFont="1" applyFill="1" applyBorder="1" applyAlignment="1" applyProtection="1">
      <alignment horizontal="right" vertical="center" wrapText="1"/>
    </xf>
    <xf numFmtId="165" fontId="2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15" borderId="1" xfId="0" applyFont="1" applyFill="1" applyBorder="1" applyAlignment="1">
      <alignment horizontal="center" vertical="center" wrapText="1"/>
    </xf>
    <xf numFmtId="168" fontId="14" fillId="15" borderId="14" xfId="2" applyNumberFormat="1" applyFont="1" applyFill="1" applyBorder="1" applyAlignment="1">
      <alignment horizontal="center" vertical="center" wrapText="1"/>
    </xf>
    <xf numFmtId="168" fontId="0" fillId="0" borderId="0" xfId="2" applyNumberFormat="1" applyFont="1" applyAlignment="1">
      <alignment horizontal="center"/>
    </xf>
    <xf numFmtId="168" fontId="0" fillId="0" borderId="0" xfId="2" applyNumberFormat="1" applyFont="1"/>
    <xf numFmtId="3" fontId="14" fillId="15" borderId="17" xfId="2" applyNumberFormat="1" applyFont="1" applyFill="1" applyBorder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0" fillId="0" borderId="0" xfId="2" applyNumberFormat="1" applyFont="1"/>
    <xf numFmtId="3" fontId="0" fillId="0" borderId="0" xfId="2" applyNumberFormat="1" applyFont="1" applyFill="1" applyBorder="1" applyAlignment="1">
      <alignment horizontal="center"/>
    </xf>
    <xf numFmtId="170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168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166" fontId="17" fillId="11" borderId="1" xfId="2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4" fillId="0" borderId="0" xfId="11" applyFont="1" applyAlignment="1">
      <alignment vertical="center"/>
    </xf>
    <xf numFmtId="0" fontId="19" fillId="0" borderId="0" xfId="11" applyFont="1" applyAlignment="1">
      <alignment horizontal="left" vertical="center"/>
    </xf>
    <xf numFmtId="0" fontId="19" fillId="0" borderId="0" xfId="11" applyFont="1" applyAlignment="1">
      <alignment vertical="center"/>
    </xf>
    <xf numFmtId="3" fontId="19" fillId="0" borderId="0" xfId="11" applyNumberFormat="1" applyFont="1" applyAlignment="1">
      <alignment vertical="center"/>
    </xf>
    <xf numFmtId="166" fontId="19" fillId="0" borderId="0" xfId="2" applyFont="1" applyAlignment="1">
      <alignment vertical="center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0" fontId="21" fillId="15" borderId="1" xfId="0" applyFont="1" applyFill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6" fontId="30" fillId="2" borderId="0" xfId="0" applyNumberFormat="1" applyFont="1" applyFill="1" applyAlignment="1" applyProtection="1">
      <alignment horizontal="right" vertical="center" wrapText="1"/>
      <protection locked="0"/>
    </xf>
    <xf numFmtId="165" fontId="30" fillId="2" borderId="0" xfId="0" applyNumberFormat="1" applyFont="1" applyFill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3" fontId="2" fillId="2" borderId="1" xfId="1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13" applyNumberFormat="1" applyFont="1" applyFill="1" applyBorder="1" applyAlignment="1" applyProtection="1">
      <alignment horizontal="right" vertical="center" wrapText="1"/>
      <protection locked="0"/>
    </xf>
    <xf numFmtId="3" fontId="17" fillId="15" borderId="1" xfId="2" applyNumberFormat="1" applyFont="1" applyFill="1" applyBorder="1" applyAlignment="1" applyProtection="1">
      <alignment horizontal="center" vertical="center"/>
      <protection locked="0"/>
    </xf>
    <xf numFmtId="165" fontId="17" fillId="15" borderId="1" xfId="2" applyNumberFormat="1" applyFont="1" applyFill="1" applyBorder="1" applyAlignment="1" applyProtection="1">
      <alignment horizontal="right" vertical="center"/>
      <protection locked="0"/>
    </xf>
    <xf numFmtId="4" fontId="17" fillId="15" borderId="1" xfId="11" applyNumberFormat="1" applyFont="1" applyFill="1" applyBorder="1" applyAlignment="1" applyProtection="1">
      <alignment horizontal="right" vertical="center"/>
      <protection locked="0"/>
    </xf>
    <xf numFmtId="3" fontId="19" fillId="0" borderId="0" xfId="11" applyNumberFormat="1" applyFont="1" applyAlignment="1" applyProtection="1">
      <alignment vertical="center"/>
      <protection locked="0"/>
    </xf>
    <xf numFmtId="166" fontId="35" fillId="0" borderId="0" xfId="2" applyFont="1" applyAlignment="1" applyProtection="1">
      <alignment horizontal="center" vertical="center"/>
      <protection locked="0"/>
    </xf>
    <xf numFmtId="3" fontId="35" fillId="0" borderId="0" xfId="11" applyNumberFormat="1" applyFont="1" applyAlignment="1" applyProtection="1">
      <alignment horizontal="center" vertical="center"/>
      <protection locked="0"/>
    </xf>
    <xf numFmtId="165" fontId="16" fillId="0" borderId="0" xfId="2" applyNumberFormat="1" applyFont="1" applyAlignment="1" applyProtection="1">
      <alignment horizontal="right" vertical="center"/>
      <protection locked="0"/>
    </xf>
    <xf numFmtId="0" fontId="19" fillId="0" borderId="0" xfId="11" applyFont="1" applyAlignment="1" applyProtection="1">
      <alignment vertical="center"/>
      <protection locked="0"/>
    </xf>
    <xf numFmtId="166" fontId="19" fillId="0" borderId="0" xfId="2" applyFont="1" applyAlignment="1" applyProtection="1">
      <alignment vertical="center"/>
      <protection locked="0"/>
    </xf>
    <xf numFmtId="166" fontId="16" fillId="0" borderId="0" xfId="2" applyFont="1" applyAlignment="1" applyProtection="1">
      <alignment vertical="center"/>
      <protection locked="0"/>
    </xf>
    <xf numFmtId="165" fontId="21" fillId="0" borderId="0" xfId="11" applyNumberFormat="1" applyFont="1" applyAlignment="1" applyProtection="1">
      <alignment horizontal="right" vertical="center"/>
      <protection locked="0"/>
    </xf>
    <xf numFmtId="0" fontId="34" fillId="0" borderId="0" xfId="11" applyFont="1" applyAlignment="1" applyProtection="1">
      <alignment vertical="center"/>
      <protection locked="0"/>
    </xf>
    <xf numFmtId="3" fontId="17" fillId="15" borderId="26" xfId="11" applyNumberFormat="1" applyFont="1" applyFill="1" applyBorder="1" applyAlignment="1" applyProtection="1">
      <alignment horizontal="center" vertical="center" wrapText="1"/>
      <protection locked="0"/>
    </xf>
    <xf numFmtId="166" fontId="17" fillId="15" borderId="26" xfId="2" applyFont="1" applyFill="1" applyBorder="1" applyAlignment="1" applyProtection="1">
      <alignment horizontal="center" vertical="center" wrapText="1"/>
      <protection locked="0"/>
    </xf>
    <xf numFmtId="0" fontId="16" fillId="0" borderId="1" xfId="11" applyFont="1" applyBorder="1" applyAlignment="1" applyProtection="1">
      <alignment vertical="center" wrapText="1" readingOrder="1"/>
      <protection locked="0"/>
    </xf>
    <xf numFmtId="168" fontId="9" fillId="0" borderId="0" xfId="1" applyNumberFormat="1" applyFont="1" applyAlignment="1" applyProtection="1">
      <alignment vertical="center"/>
      <protection locked="0"/>
    </xf>
    <xf numFmtId="0" fontId="19" fillId="0" borderId="0" xfId="11" applyFont="1" applyAlignment="1" applyProtection="1">
      <alignment horizontal="left" vertical="center"/>
      <protection locked="0"/>
    </xf>
    <xf numFmtId="0" fontId="37" fillId="15" borderId="0" xfId="11" applyFont="1" applyFill="1" applyAlignment="1">
      <alignment horizontal="center" vertical="center"/>
    </xf>
    <xf numFmtId="0" fontId="21" fillId="15" borderId="0" xfId="11" applyFont="1" applyFill="1" applyAlignment="1">
      <alignment horizontal="center" vertical="center"/>
    </xf>
    <xf numFmtId="0" fontId="3" fillId="13" borderId="28" xfId="11" applyFont="1" applyFill="1" applyBorder="1" applyAlignment="1">
      <alignment horizontal="left" vertical="center"/>
    </xf>
    <xf numFmtId="0" fontId="3" fillId="4" borderId="29" xfId="11" applyFont="1" applyFill="1" applyBorder="1" applyAlignment="1">
      <alignment horizontal="left" vertical="center"/>
    </xf>
    <xf numFmtId="0" fontId="3" fillId="3" borderId="30" xfId="11" applyFont="1" applyFill="1" applyBorder="1" applyAlignment="1">
      <alignment horizontal="left" vertical="center"/>
    </xf>
    <xf numFmtId="8" fontId="3" fillId="2" borderId="0" xfId="0" applyNumberFormat="1" applyFont="1" applyFill="1" applyProtection="1">
      <protection locked="0"/>
    </xf>
    <xf numFmtId="165" fontId="3" fillId="0" borderId="1" xfId="2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5" fontId="3" fillId="0" borderId="1" xfId="2" applyNumberFormat="1" applyFont="1" applyFill="1" applyBorder="1" applyAlignment="1" applyProtection="1">
      <alignment vertical="center" wrapText="1"/>
    </xf>
    <xf numFmtId="168" fontId="3" fillId="0" borderId="1" xfId="2" applyNumberFormat="1" applyFont="1" applyFill="1" applyBorder="1" applyAlignment="1" applyProtection="1">
      <alignment vertical="center" wrapText="1"/>
    </xf>
    <xf numFmtId="0" fontId="16" fillId="19" borderId="1" xfId="11" applyFont="1" applyFill="1" applyBorder="1" applyAlignment="1" applyProtection="1">
      <alignment vertical="center" wrapText="1" readingOrder="1"/>
      <protection locked="0"/>
    </xf>
    <xf numFmtId="3" fontId="2" fillId="19" borderId="1" xfId="11" applyNumberFormat="1" applyFont="1" applyFill="1" applyBorder="1" applyAlignment="1" applyProtection="1">
      <alignment horizontal="center" vertical="center" wrapText="1"/>
      <protection locked="0"/>
    </xf>
    <xf numFmtId="165" fontId="2" fillId="19" borderId="1" xfId="2" applyNumberFormat="1" applyFont="1" applyFill="1" applyBorder="1" applyAlignment="1" applyProtection="1">
      <alignment horizontal="right" vertical="center" wrapText="1"/>
      <protection locked="0"/>
    </xf>
    <xf numFmtId="4" fontId="2" fillId="19" borderId="1" xfId="13" applyNumberFormat="1" applyFont="1" applyFill="1" applyBorder="1" applyAlignment="1" applyProtection="1">
      <alignment horizontal="right" vertic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3" fontId="2" fillId="0" borderId="1" xfId="11" applyNumberFormat="1" applyFont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13" applyNumberFormat="1" applyFont="1" applyBorder="1" applyAlignment="1" applyProtection="1">
      <alignment horizontal="right" vertical="center" wrapText="1"/>
      <protection locked="0"/>
    </xf>
    <xf numFmtId="175" fontId="3" fillId="0" borderId="8" xfId="0" applyNumberFormat="1" applyFont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>
      <alignment horizontal="center" vertical="center" wrapText="1"/>
    </xf>
    <xf numFmtId="0" fontId="3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64" fontId="17" fillId="15" borderId="1" xfId="2" applyNumberFormat="1" applyFont="1" applyFill="1" applyBorder="1" applyAlignment="1" applyProtection="1">
      <alignment vertical="center" wrapText="1"/>
    </xf>
    <xf numFmtId="0" fontId="34" fillId="19" borderId="0" xfId="11" applyFont="1" applyFill="1" applyAlignment="1" applyProtection="1">
      <alignment vertical="center"/>
      <protection locked="0"/>
    </xf>
    <xf numFmtId="0" fontId="3" fillId="19" borderId="0" xfId="11" applyFont="1" applyFill="1" applyAlignment="1">
      <alignment horizontal="left" vertical="center"/>
    </xf>
    <xf numFmtId="0" fontId="34" fillId="19" borderId="0" xfId="11" applyFont="1" applyFill="1" applyAlignment="1">
      <alignment vertical="center"/>
    </xf>
    <xf numFmtId="165" fontId="20" fillId="2" borderId="1" xfId="2" applyNumberFormat="1" applyFont="1" applyFill="1" applyBorder="1" applyAlignment="1" applyProtection="1">
      <alignment horizontal="right" vertical="center" wrapText="1"/>
    </xf>
    <xf numFmtId="165" fontId="2" fillId="2" borderId="1" xfId="1" applyNumberFormat="1" applyFont="1" applyFill="1" applyBorder="1" applyAlignment="1" applyProtection="1">
      <alignment horizontal="right" vertical="center" wrapText="1"/>
    </xf>
    <xf numFmtId="165" fontId="30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19" borderId="0" xfId="0" applyFont="1" applyFill="1" applyAlignment="1" applyProtection="1">
      <alignment wrapText="1"/>
      <protection locked="0"/>
    </xf>
    <xf numFmtId="0" fontId="3" fillId="17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4" fontId="15" fillId="0" borderId="0" xfId="0" applyNumberFormat="1" applyFont="1" applyAlignment="1" applyProtection="1">
      <alignment horizontal="left" wrapText="1"/>
      <protection locked="0"/>
    </xf>
    <xf numFmtId="168" fontId="15" fillId="0" borderId="0" xfId="0" applyNumberFormat="1" applyFont="1" applyAlignment="1" applyProtection="1">
      <alignment horizontal="left" wrapText="1"/>
      <protection locked="0"/>
    </xf>
    <xf numFmtId="0" fontId="22" fillId="0" borderId="0" xfId="0" applyFont="1" applyAlignment="1">
      <alignment vertical="center"/>
    </xf>
    <xf numFmtId="0" fontId="39" fillId="0" borderId="8" xfId="0" applyFont="1" applyBorder="1" applyAlignment="1">
      <alignment horizontal="center" vertical="center" wrapText="1"/>
    </xf>
    <xf numFmtId="176" fontId="39" fillId="0" borderId="8" xfId="0" applyNumberFormat="1" applyFont="1" applyBorder="1" applyAlignment="1">
      <alignment horizontal="center" vertical="center" wrapText="1"/>
    </xf>
    <xf numFmtId="165" fontId="39" fillId="0" borderId="8" xfId="0" applyNumberFormat="1" applyFont="1" applyBorder="1" applyAlignment="1">
      <alignment horizontal="center" vertical="center" wrapText="1"/>
    </xf>
    <xf numFmtId="0" fontId="4" fillId="15" borderId="0" xfId="0" applyFont="1" applyFill="1" applyAlignment="1" applyProtection="1">
      <alignment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vertical="center" wrapText="1"/>
      <protection locked="0"/>
    </xf>
    <xf numFmtId="165" fontId="3" fillId="17" borderId="1" xfId="2" applyNumberFormat="1" applyFont="1" applyFill="1" applyBorder="1" applyAlignment="1" applyProtection="1">
      <alignment vertical="center" wrapText="1"/>
      <protection locked="0"/>
    </xf>
    <xf numFmtId="165" fontId="3" fillId="17" borderId="1" xfId="2" applyNumberFormat="1" applyFont="1" applyFill="1" applyBorder="1" applyAlignment="1" applyProtection="1">
      <alignment vertical="center" wrapText="1"/>
    </xf>
    <xf numFmtId="168" fontId="3" fillId="17" borderId="1" xfId="2" applyNumberFormat="1" applyFont="1" applyFill="1" applyBorder="1" applyAlignment="1" applyProtection="1">
      <alignment vertical="center" wrapText="1"/>
    </xf>
    <xf numFmtId="0" fontId="4" fillId="17" borderId="0" xfId="0" applyFont="1" applyFill="1" applyAlignment="1" applyProtection="1">
      <alignment vertical="center" wrapText="1"/>
      <protection locked="0"/>
    </xf>
    <xf numFmtId="8" fontId="3" fillId="0" borderId="0" xfId="0" applyNumberFormat="1" applyFont="1" applyAlignment="1" applyProtection="1">
      <alignment vertical="center"/>
      <protection locked="0"/>
    </xf>
    <xf numFmtId="0" fontId="16" fillId="15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vertical="center" wrapText="1"/>
    </xf>
    <xf numFmtId="41" fontId="17" fillId="20" borderId="1" xfId="0" applyNumberFormat="1" applyFont="1" applyFill="1" applyBorder="1" applyAlignment="1">
      <alignment horizontal="center" vertical="center" wrapText="1"/>
    </xf>
    <xf numFmtId="165" fontId="17" fillId="20" borderId="1" xfId="2" applyNumberFormat="1" applyFont="1" applyFill="1" applyBorder="1" applyAlignment="1" applyProtection="1">
      <alignment horizontal="right" vertical="center" wrapText="1"/>
    </xf>
    <xf numFmtId="168" fontId="17" fillId="20" borderId="1" xfId="1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15" borderId="1" xfId="0" applyFont="1" applyFill="1" applyBorder="1" applyAlignment="1">
      <alignment horizontal="center" vertical="center" wrapText="1"/>
    </xf>
    <xf numFmtId="49" fontId="14" fillId="15" borderId="23" xfId="2" applyNumberFormat="1" applyFont="1" applyFill="1" applyBorder="1" applyAlignment="1">
      <alignment horizontal="center" vertical="center"/>
    </xf>
    <xf numFmtId="49" fontId="14" fillId="15" borderId="19" xfId="2" applyNumberFormat="1" applyFont="1" applyFill="1" applyBorder="1" applyAlignment="1">
      <alignment horizontal="center" vertical="center"/>
    </xf>
    <xf numFmtId="49" fontId="14" fillId="15" borderId="23" xfId="2" applyNumberFormat="1" applyFont="1" applyFill="1" applyBorder="1" applyAlignment="1">
      <alignment horizontal="center" vertical="center" wrapText="1"/>
    </xf>
    <xf numFmtId="166" fontId="14" fillId="15" borderId="20" xfId="2" applyFont="1" applyFill="1" applyBorder="1" applyAlignment="1">
      <alignment horizontal="center" vertical="center"/>
    </xf>
    <xf numFmtId="166" fontId="14" fillId="15" borderId="24" xfId="2" applyFont="1" applyFill="1" applyBorder="1" applyAlignment="1">
      <alignment horizontal="center" vertical="center"/>
    </xf>
    <xf numFmtId="166" fontId="14" fillId="15" borderId="25" xfId="2" applyFont="1" applyFill="1" applyBorder="1" applyAlignment="1">
      <alignment horizontal="center" vertical="center"/>
    </xf>
    <xf numFmtId="166" fontId="14" fillId="15" borderId="15" xfId="2" applyFont="1" applyFill="1" applyBorder="1" applyAlignment="1">
      <alignment horizontal="center" vertical="center"/>
    </xf>
    <xf numFmtId="166" fontId="14" fillId="15" borderId="21" xfId="2" applyFont="1" applyFill="1" applyBorder="1" applyAlignment="1">
      <alignment horizontal="center" vertical="center"/>
    </xf>
    <xf numFmtId="166" fontId="14" fillId="15" borderId="22" xfId="2" applyFont="1" applyFill="1" applyBorder="1" applyAlignment="1">
      <alignment horizontal="center" vertical="center"/>
    </xf>
    <xf numFmtId="9" fontId="14" fillId="9" borderId="14" xfId="1" applyFont="1" applyFill="1" applyBorder="1" applyAlignment="1">
      <alignment horizontal="center" vertical="center"/>
    </xf>
    <xf numFmtId="49" fontId="14" fillId="15" borderId="14" xfId="2" applyNumberFormat="1" applyFont="1" applyFill="1" applyBorder="1" applyAlignment="1">
      <alignment horizontal="center" vertical="center"/>
    </xf>
    <xf numFmtId="170" fontId="14" fillId="15" borderId="20" xfId="2" applyNumberFormat="1" applyFont="1" applyFill="1" applyBorder="1" applyAlignment="1">
      <alignment horizontal="center" vertical="center" wrapText="1"/>
    </xf>
    <xf numFmtId="170" fontId="14" fillId="15" borderId="15" xfId="2" applyNumberFormat="1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/>
    </xf>
    <xf numFmtId="9" fontId="14" fillId="14" borderId="14" xfId="1" applyFont="1" applyFill="1" applyBorder="1" applyAlignment="1">
      <alignment horizontal="center" vertical="center"/>
    </xf>
    <xf numFmtId="170" fontId="14" fillId="15" borderId="0" xfId="2" applyNumberFormat="1" applyFont="1" applyFill="1" applyBorder="1" applyAlignment="1">
      <alignment horizontal="center" vertical="center" wrapText="1"/>
    </xf>
    <xf numFmtId="0" fontId="17" fillId="15" borderId="1" xfId="11" applyFont="1" applyFill="1" applyBorder="1" applyAlignment="1" applyProtection="1">
      <alignment horizontal="left" vertical="center" wrapText="1" readingOrder="1"/>
      <protection locked="0"/>
    </xf>
    <xf numFmtId="0" fontId="17" fillId="15" borderId="1" xfId="11" applyFont="1" applyFill="1" applyBorder="1" applyAlignment="1" applyProtection="1">
      <alignment horizontal="right" vertical="center"/>
      <protection locked="0"/>
    </xf>
    <xf numFmtId="0" fontId="17" fillId="15" borderId="1" xfId="11" applyFont="1" applyFill="1" applyBorder="1" applyAlignment="1" applyProtection="1">
      <alignment horizontal="center" vertical="center" wrapText="1"/>
      <protection locked="0"/>
    </xf>
    <xf numFmtId="0" fontId="17" fillId="15" borderId="1" xfId="11" applyFont="1" applyFill="1" applyBorder="1" applyAlignment="1" applyProtection="1">
      <alignment horizontal="center" vertical="center" wrapText="1" readingOrder="1"/>
      <protection locked="0"/>
    </xf>
    <xf numFmtId="0" fontId="17" fillId="15" borderId="26" xfId="11" applyFont="1" applyFill="1" applyBorder="1" applyAlignment="1" applyProtection="1">
      <alignment horizontal="center" vertical="center" wrapText="1" readingOrder="1"/>
      <protection locked="0"/>
    </xf>
    <xf numFmtId="41" fontId="17" fillId="15" borderId="1" xfId="11" applyNumberFormat="1" applyFont="1" applyFill="1" applyBorder="1" applyAlignment="1" applyProtection="1">
      <alignment horizontal="center" vertical="center" wrapText="1"/>
      <protection locked="0"/>
    </xf>
    <xf numFmtId="41" fontId="17" fillId="15" borderId="26" xfId="11" applyNumberFormat="1" applyFont="1" applyFill="1" applyBorder="1" applyAlignment="1" applyProtection="1">
      <alignment horizontal="center" vertical="center" wrapText="1"/>
      <protection locked="0"/>
    </xf>
    <xf numFmtId="0" fontId="17" fillId="15" borderId="1" xfId="11" applyFont="1" applyFill="1" applyBorder="1" applyAlignment="1" applyProtection="1">
      <alignment horizontal="left" vertical="center" readingOrder="1"/>
      <protection locked="0"/>
    </xf>
    <xf numFmtId="0" fontId="17" fillId="15" borderId="4" xfId="0" applyFont="1" applyFill="1" applyBorder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15" borderId="1" xfId="0" applyFont="1" applyFill="1" applyBorder="1" applyAlignment="1" applyProtection="1">
      <alignment horizontal="left" vertical="center" wrapText="1"/>
      <protection locked="0"/>
    </xf>
    <xf numFmtId="0" fontId="17" fillId="15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8" fontId="16" fillId="0" borderId="1" xfId="1" applyNumberFormat="1" applyFont="1" applyBorder="1" applyAlignment="1" applyProtection="1">
      <alignment horizontal="center" vertical="center" wrapText="1"/>
      <protection locked="0"/>
    </xf>
    <xf numFmtId="173" fontId="16" fillId="0" borderId="1" xfId="2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wrapText="1"/>
      <protection locked="0"/>
    </xf>
    <xf numFmtId="165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6" fillId="6" borderId="1" xfId="3" applyFont="1" applyFill="1" applyBorder="1" applyAlignment="1" applyProtection="1">
      <alignment horizontal="left" vertical="center" wrapText="1"/>
      <protection locked="0"/>
    </xf>
    <xf numFmtId="168" fontId="16" fillId="0" borderId="26" xfId="1" applyNumberFormat="1" applyFont="1" applyBorder="1" applyAlignment="1" applyProtection="1">
      <alignment horizontal="center" vertical="center" wrapText="1"/>
      <protection locked="0"/>
    </xf>
    <xf numFmtId="168" fontId="16" fillId="0" borderId="3" xfId="1" applyNumberFormat="1" applyFont="1" applyBorder="1" applyAlignment="1" applyProtection="1">
      <alignment horizontal="center" vertical="center" wrapText="1"/>
      <protection locked="0"/>
    </xf>
    <xf numFmtId="17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3" applyFont="1" applyFill="1" applyBorder="1" applyAlignment="1" applyProtection="1">
      <alignment horizontal="left" vertical="center" wrapText="1"/>
      <protection locked="0"/>
    </xf>
    <xf numFmtId="167" fontId="16" fillId="0" borderId="26" xfId="1" applyNumberFormat="1" applyFont="1" applyBorder="1" applyAlignment="1" applyProtection="1">
      <alignment horizontal="center" vertical="center" wrapText="1"/>
      <protection locked="0"/>
    </xf>
    <xf numFmtId="167" fontId="16" fillId="0" borderId="3" xfId="1" applyNumberFormat="1" applyFont="1" applyBorder="1" applyAlignment="1" applyProtection="1">
      <alignment horizontal="center" vertical="center" wrapText="1"/>
      <protection locked="0"/>
    </xf>
    <xf numFmtId="173" fontId="16" fillId="0" borderId="1" xfId="1" applyNumberFormat="1" applyFont="1" applyBorder="1" applyAlignment="1" applyProtection="1">
      <alignment horizontal="center" vertical="center" wrapText="1"/>
      <protection locked="0"/>
    </xf>
    <xf numFmtId="174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7" fillId="15" borderId="1" xfId="0" applyFont="1" applyFill="1" applyBorder="1" applyAlignment="1" applyProtection="1">
      <alignment horizontal="left" vertical="center"/>
      <protection locked="0"/>
    </xf>
    <xf numFmtId="0" fontId="17" fillId="15" borderId="1" xfId="0" applyFont="1" applyFill="1" applyBorder="1" applyAlignment="1">
      <alignment horizontal="left" vertical="center" wrapText="1"/>
    </xf>
    <xf numFmtId="0" fontId="17" fillId="20" borderId="1" xfId="0" applyFont="1" applyFill="1" applyBorder="1" applyAlignment="1">
      <alignment horizontal="center" vertical="center" wrapText="1"/>
    </xf>
    <xf numFmtId="4" fontId="17" fillId="15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17" fillId="15" borderId="1" xfId="0" applyFont="1" applyFill="1" applyBorder="1" applyAlignment="1">
      <alignment horizontal="right" vertical="center" wrapText="1"/>
    </xf>
    <xf numFmtId="4" fontId="17" fillId="15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4" fillId="15" borderId="26" xfId="0" applyFont="1" applyFill="1" applyBorder="1" applyAlignment="1">
      <alignment horizontal="center" vertical="center" wrapText="1"/>
    </xf>
    <xf numFmtId="0" fontId="24" fillId="15" borderId="3" xfId="0" applyFont="1" applyFill="1" applyBorder="1" applyAlignment="1">
      <alignment horizontal="center" vertical="center" wrapText="1"/>
    </xf>
    <xf numFmtId="0" fontId="24" fillId="15" borderId="6" xfId="0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 wrapText="1"/>
    </xf>
    <xf numFmtId="0" fontId="24" fillId="15" borderId="2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 applyProtection="1">
      <alignment horizontal="left" vertical="center" wrapText="1"/>
      <protection locked="0"/>
    </xf>
    <xf numFmtId="0" fontId="25" fillId="7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>
      <alignment horizontal="left" vertical="center" wrapText="1"/>
    </xf>
    <xf numFmtId="0" fontId="24" fillId="1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7" fillId="15" borderId="6" xfId="0" applyFont="1" applyFill="1" applyBorder="1" applyAlignment="1">
      <alignment horizontal="left" vertical="center" wrapText="1"/>
    </xf>
    <xf numFmtId="0" fontId="17" fillId="15" borderId="5" xfId="0" applyFont="1" applyFill="1" applyBorder="1" applyAlignment="1">
      <alignment horizontal="left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7" fillId="15" borderId="6" xfId="0" applyFont="1" applyFill="1" applyBorder="1" applyAlignment="1" applyProtection="1">
      <alignment horizontal="left" vertical="center"/>
      <protection locked="0"/>
    </xf>
    <xf numFmtId="0" fontId="17" fillId="15" borderId="5" xfId="0" applyFont="1" applyFill="1" applyBorder="1" applyAlignment="1" applyProtection="1">
      <alignment horizontal="left" vertical="center"/>
      <protection locked="0"/>
    </xf>
    <xf numFmtId="0" fontId="17" fillId="15" borderId="2" xfId="0" applyFont="1" applyFill="1" applyBorder="1" applyAlignment="1" applyProtection="1">
      <alignment horizontal="left" vertical="center"/>
      <protection locked="0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17" fillId="15" borderId="7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41" fontId="17" fillId="15" borderId="26" xfId="0" applyNumberFormat="1" applyFont="1" applyFill="1" applyBorder="1" applyAlignment="1">
      <alignment horizontal="center" vertical="center" wrapText="1"/>
    </xf>
    <xf numFmtId="41" fontId="17" fillId="15" borderId="27" xfId="0" applyNumberFormat="1" applyFont="1" applyFill="1" applyBorder="1" applyAlignment="1">
      <alignment horizontal="center" vertical="center" wrapText="1"/>
    </xf>
    <xf numFmtId="41" fontId="17" fillId="15" borderId="3" xfId="0" applyNumberFormat="1" applyFont="1" applyFill="1" applyBorder="1" applyAlignment="1">
      <alignment horizontal="center" vertical="center" wrapText="1"/>
    </xf>
    <xf numFmtId="167" fontId="17" fillId="15" borderId="26" xfId="0" applyNumberFormat="1" applyFont="1" applyFill="1" applyBorder="1" applyAlignment="1">
      <alignment horizontal="center" vertical="center" wrapText="1"/>
    </xf>
    <xf numFmtId="167" fontId="17" fillId="15" borderId="27" xfId="0" applyNumberFormat="1" applyFont="1" applyFill="1" applyBorder="1" applyAlignment="1">
      <alignment horizontal="center" vertical="center" wrapText="1"/>
    </xf>
    <xf numFmtId="167" fontId="17" fillId="15" borderId="3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 applyProtection="1">
      <alignment horizontal="center" vertical="center" wrapText="1"/>
      <protection locked="0"/>
    </xf>
    <xf numFmtId="41" fontId="17" fillId="20" borderId="1" xfId="0" applyNumberFormat="1" applyFont="1" applyFill="1" applyBorder="1" applyAlignment="1">
      <alignment horizontal="center" vertical="center" wrapText="1"/>
    </xf>
    <xf numFmtId="0" fontId="15" fillId="18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41" fontId="17" fillId="15" borderId="1" xfId="0" applyNumberFormat="1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left" vertical="center" wrapText="1"/>
    </xf>
    <xf numFmtId="0" fontId="2" fillId="18" borderId="1" xfId="0" applyFont="1" applyFill="1" applyBorder="1" applyAlignment="1">
      <alignment horizontal="center" vertical="center" wrapText="1"/>
    </xf>
    <xf numFmtId="41" fontId="17" fillId="20" borderId="1" xfId="0" applyNumberFormat="1" applyFont="1" applyFill="1" applyBorder="1" applyAlignment="1">
      <alignment horizontal="left" vertical="center" wrapText="1"/>
    </xf>
    <xf numFmtId="0" fontId="17" fillId="15" borderId="6" xfId="0" applyFont="1" applyFill="1" applyBorder="1" applyAlignment="1" applyProtection="1">
      <alignment horizontal="left" vertical="center" wrapText="1"/>
      <protection locked="0"/>
    </xf>
    <xf numFmtId="0" fontId="17" fillId="15" borderId="5" xfId="0" applyFont="1" applyFill="1" applyBorder="1" applyAlignment="1" applyProtection="1">
      <alignment horizontal="left" vertical="center" wrapText="1"/>
      <protection locked="0"/>
    </xf>
    <xf numFmtId="0" fontId="17" fillId="15" borderId="2" xfId="0" applyFont="1" applyFill="1" applyBorder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17" fillId="20" borderId="1" xfId="0" applyFont="1" applyFill="1" applyBorder="1" applyAlignment="1">
      <alignment horizontal="center" vertical="center" textRotation="90"/>
    </xf>
    <xf numFmtId="0" fontId="17" fillId="15" borderId="1" xfId="0" applyFont="1" applyFill="1" applyBorder="1" applyAlignment="1">
      <alignment horizontal="center" vertical="center" textRotation="90"/>
    </xf>
    <xf numFmtId="41" fontId="2" fillId="2" borderId="1" xfId="0" applyNumberFormat="1" applyFont="1" applyFill="1" applyBorder="1" applyAlignment="1">
      <alignment horizontal="left" vertical="center" wrapText="1"/>
    </xf>
    <xf numFmtId="0" fontId="18" fillId="15" borderId="6" xfId="0" applyFont="1" applyFill="1" applyBorder="1" applyAlignment="1" applyProtection="1">
      <alignment horizontal="center" vertical="center"/>
      <protection locked="0"/>
    </xf>
    <xf numFmtId="0" fontId="18" fillId="15" borderId="5" xfId="0" applyFont="1" applyFill="1" applyBorder="1" applyAlignment="1" applyProtection="1">
      <alignment horizontal="center" vertical="center"/>
      <protection locked="0"/>
    </xf>
    <xf numFmtId="166" fontId="18" fillId="15" borderId="1" xfId="2" applyFont="1" applyFill="1" applyBorder="1" applyAlignment="1" applyProtection="1">
      <alignment horizontal="center" vertical="center" wrapText="1"/>
      <protection locked="0"/>
    </xf>
    <xf numFmtId="168" fontId="17" fillId="15" borderId="1" xfId="2" applyNumberFormat="1" applyFont="1" applyFill="1" applyBorder="1" applyAlignment="1" applyProtection="1">
      <alignment horizontal="center" vertical="center" wrapText="1"/>
    </xf>
    <xf numFmtId="0" fontId="18" fillId="15" borderId="26" xfId="0" applyFont="1" applyFill="1" applyBorder="1" applyAlignment="1" applyProtection="1">
      <alignment horizontal="center" vertical="center" wrapText="1"/>
      <protection locked="0"/>
    </xf>
    <xf numFmtId="0" fontId="18" fillId="15" borderId="3" xfId="0" applyFont="1" applyFill="1" applyBorder="1" applyAlignment="1" applyProtection="1">
      <alignment horizontal="center" vertical="center" wrapText="1"/>
      <protection locked="0"/>
    </xf>
    <xf numFmtId="0" fontId="18" fillId="15" borderId="1" xfId="0" applyFont="1" applyFill="1" applyBorder="1" applyAlignment="1" applyProtection="1">
      <alignment horizontal="center" vertical="center" wrapText="1"/>
      <protection locked="0"/>
    </xf>
    <xf numFmtId="0" fontId="18" fillId="15" borderId="1" xfId="0" applyFont="1" applyFill="1" applyBorder="1" applyAlignment="1" applyProtection="1">
      <alignment horizontal="center" vertical="center"/>
      <protection locked="0"/>
    </xf>
    <xf numFmtId="0" fontId="17" fillId="15" borderId="26" xfId="0" applyFont="1" applyFill="1" applyBorder="1" applyAlignment="1" applyProtection="1">
      <alignment horizontal="center" vertical="center" wrapText="1"/>
      <protection locked="0"/>
    </xf>
    <xf numFmtId="0" fontId="17" fillId="15" borderId="3" xfId="0" applyFont="1" applyFill="1" applyBorder="1" applyAlignment="1" applyProtection="1">
      <alignment horizontal="center" vertical="center" wrapText="1"/>
      <protection locked="0"/>
    </xf>
    <xf numFmtId="165" fontId="20" fillId="5" borderId="6" xfId="2" applyNumberFormat="1" applyFont="1" applyFill="1" applyBorder="1" applyAlignment="1" applyProtection="1">
      <alignment horizontal="right" vertical="center" wrapText="1"/>
    </xf>
  </cellXfs>
  <cellStyles count="14">
    <cellStyle name="Moeda 2" xfId="4" xr:uid="{00000000-0005-0000-0000-000000000000}"/>
    <cellStyle name="Normal" xfId="0" builtinId="0"/>
    <cellStyle name="Normal 2" xfId="3" xr:uid="{00000000-0005-0000-0000-000002000000}"/>
    <cellStyle name="Normal 2 2" xfId="12" xr:uid="{00000000-0005-0000-0000-000003000000}"/>
    <cellStyle name="Normal 3" xfId="6" xr:uid="{00000000-0005-0000-0000-000004000000}"/>
    <cellStyle name="Normal 3 2" xfId="7" xr:uid="{00000000-0005-0000-0000-000005000000}"/>
    <cellStyle name="Normal 3 2 2" xfId="11" xr:uid="{00000000-0005-0000-0000-000006000000}"/>
    <cellStyle name="Porcentagem" xfId="1" builtinId="5"/>
    <cellStyle name="Porcentagem 2" xfId="10" xr:uid="{00000000-0005-0000-0000-000008000000}"/>
    <cellStyle name="Separador de milhares 2" xfId="13" xr:uid="{00000000-0005-0000-0000-000009000000}"/>
    <cellStyle name="Vírgula" xfId="2" builtinId="3"/>
    <cellStyle name="Vírgula 2" xfId="5" xr:uid="{00000000-0005-0000-0000-00000B000000}"/>
    <cellStyle name="Vírgula 2 2" xfId="9" xr:uid="{00000000-0005-0000-0000-00000C000000}"/>
    <cellStyle name="Vírgula 4" xfId="8" xr:uid="{00000000-0005-0000-0000-00000D000000}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66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900"/>
      <color rgb="FFFF6600"/>
      <color rgb="FFFFCFAF"/>
      <color rgb="FFFFF3EB"/>
      <color rgb="FFFFF5D9"/>
      <color rgb="FFFFCD00"/>
      <color rgb="FF530053"/>
      <color rgb="FFF09C68"/>
      <color rgb="FF2A5664"/>
      <color rgb="FFE4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8</xdr:row>
      <xdr:rowOff>179917</xdr:rowOff>
    </xdr:from>
    <xdr:to>
      <xdr:col>38</xdr:col>
      <xdr:colOff>0</xdr:colOff>
      <xdr:row>17</xdr:row>
      <xdr:rowOff>17318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4523" y="2006985"/>
          <a:ext cx="3636818" cy="17077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3200"/>
            <a:t>Selecione seu </a:t>
          </a:r>
          <a:br>
            <a:rPr lang="pt-BR" sz="3200"/>
          </a:br>
          <a:r>
            <a:rPr lang="pt-BR" sz="3200"/>
            <a:t>UF</a:t>
          </a:r>
        </a:p>
        <a:p>
          <a:pPr algn="ctr"/>
          <a:r>
            <a:rPr lang="pt-BR" sz="3200"/>
            <a:t>na célula AI2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5</xdr:row>
      <xdr:rowOff>142875</xdr:rowOff>
    </xdr:from>
    <xdr:to>
      <xdr:col>12</xdr:col>
      <xdr:colOff>7448550</xdr:colOff>
      <xdr:row>9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020925" y="1905000"/>
          <a:ext cx="6572250" cy="1457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Insira acima os Objetivos Estratégico Locais definido para o CAU/UF</a:t>
          </a:r>
          <a:br>
            <a:rPr lang="pt-BR" sz="2400"/>
          </a:br>
          <a:r>
            <a:rPr lang="pt-BR" sz="2400"/>
            <a:t>De 2 a 3 objetivos (iguais ao Mapa Estratégico)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</xdr:row>
          <xdr:rowOff>19050</xdr:rowOff>
        </xdr:from>
        <xdr:to>
          <xdr:col>11</xdr:col>
          <xdr:colOff>0</xdr:colOff>
          <xdr:row>1</xdr:row>
          <xdr:rowOff>4800600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2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6445</xdr:rowOff>
    </xdr:from>
    <xdr:to>
      <xdr:col>10</xdr:col>
      <xdr:colOff>569026</xdr:colOff>
      <xdr:row>3</xdr:row>
      <xdr:rowOff>3801533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34195"/>
          <a:ext cx="6707359" cy="3795088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>
    <xdr:from>
      <xdr:col>5</xdr:col>
      <xdr:colOff>329046</xdr:colOff>
      <xdr:row>3</xdr:row>
      <xdr:rowOff>2762250</xdr:rowOff>
    </xdr:from>
    <xdr:to>
      <xdr:col>7</xdr:col>
      <xdr:colOff>155814</xdr:colOff>
      <xdr:row>3</xdr:row>
      <xdr:rowOff>3758046</xdr:rowOff>
    </xdr:to>
    <xdr:sp macro="" textlink="">
      <xdr:nvSpPr>
        <xdr:cNvPr id="7" name="AutoShape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3359728" y="9308523"/>
          <a:ext cx="1039041" cy="995796"/>
        </a:xfrm>
        <a:prstGeom prst="roundRect">
          <a:avLst>
            <a:gd name="adj" fmla="val 9648"/>
          </a:avLst>
        </a:prstGeom>
        <a:noFill/>
        <a:ln w="76200">
          <a:solidFill>
            <a:srgbClr val="FF6600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pt-BR" sz="1200">
            <a:solidFill>
              <a:prstClr val="black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242455</xdr:colOff>
      <xdr:row>3</xdr:row>
      <xdr:rowOff>2753590</xdr:rowOff>
    </xdr:from>
    <xdr:to>
      <xdr:col>9</xdr:col>
      <xdr:colOff>69224</xdr:colOff>
      <xdr:row>3</xdr:row>
      <xdr:rowOff>3749386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4485410" y="9299863"/>
          <a:ext cx="1039041" cy="995796"/>
        </a:xfrm>
        <a:prstGeom prst="roundRect">
          <a:avLst>
            <a:gd name="adj" fmla="val 9648"/>
          </a:avLst>
        </a:prstGeom>
        <a:noFill/>
        <a:ln w="76200">
          <a:solidFill>
            <a:srgbClr val="FF6600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pt-BR" sz="1200">
            <a:solidFill>
              <a:prstClr val="black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225136</xdr:colOff>
      <xdr:row>3</xdr:row>
      <xdr:rowOff>1705840</xdr:rowOff>
    </xdr:from>
    <xdr:to>
      <xdr:col>9</xdr:col>
      <xdr:colOff>51905</xdr:colOff>
      <xdr:row>3</xdr:row>
      <xdr:rowOff>2701636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4468091" y="8252113"/>
          <a:ext cx="1039041" cy="995796"/>
        </a:xfrm>
        <a:prstGeom prst="roundRect">
          <a:avLst>
            <a:gd name="adj" fmla="val 9648"/>
          </a:avLst>
        </a:prstGeom>
        <a:noFill/>
        <a:ln w="76200">
          <a:solidFill>
            <a:srgbClr val="FF6600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pt-BR" sz="1200">
            <a:solidFill>
              <a:prstClr val="black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233795</xdr:colOff>
      <xdr:row>3</xdr:row>
      <xdr:rowOff>606135</xdr:rowOff>
    </xdr:from>
    <xdr:to>
      <xdr:col>9</xdr:col>
      <xdr:colOff>60564</xdr:colOff>
      <xdr:row>3</xdr:row>
      <xdr:rowOff>1601931</xdr:rowOff>
    </xdr:to>
    <xdr:sp macro="" textlink="">
      <xdr:nvSpPr>
        <xdr:cNvPr id="13" name="AutoShape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4476750" y="7152408"/>
          <a:ext cx="1039041" cy="995796"/>
        </a:xfrm>
        <a:prstGeom prst="roundRect">
          <a:avLst>
            <a:gd name="adj" fmla="val 9648"/>
          </a:avLst>
        </a:prstGeom>
        <a:noFill/>
        <a:ln w="76200">
          <a:solidFill>
            <a:srgbClr val="FF6600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pt-BR" sz="1200">
            <a:solidFill>
              <a:prstClr val="black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484910</xdr:colOff>
      <xdr:row>3</xdr:row>
      <xdr:rowOff>1679864</xdr:rowOff>
    </xdr:from>
    <xdr:to>
      <xdr:col>3</xdr:col>
      <xdr:colOff>311678</xdr:colOff>
      <xdr:row>3</xdr:row>
      <xdr:rowOff>2675660</xdr:rowOff>
    </xdr:to>
    <xdr:sp macro="" textlink="">
      <xdr:nvSpPr>
        <xdr:cNvPr id="14" name="AutoShape 1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091046" y="8226137"/>
          <a:ext cx="1039041" cy="995796"/>
        </a:xfrm>
        <a:prstGeom prst="roundRect">
          <a:avLst>
            <a:gd name="adj" fmla="val 9648"/>
          </a:avLst>
        </a:prstGeom>
        <a:noFill/>
        <a:ln w="76200">
          <a:solidFill>
            <a:srgbClr val="FF6600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pt-BR" sz="1200">
            <a:solidFill>
              <a:prstClr val="black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PowerPoint_Slide.sld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P36"/>
  <sheetViews>
    <sheetView showGridLines="0" topLeftCell="AH11" zoomScale="120" zoomScaleNormal="120" workbookViewId="0">
      <selection activeCell="AI24" sqref="AI24"/>
    </sheetView>
  </sheetViews>
  <sheetFormatPr defaultColWidth="0" defaultRowHeight="15.5" zeroHeight="1" x14ac:dyDescent="0.35"/>
  <cols>
    <col min="1" max="1" width="13.26953125" style="14" hidden="1" customWidth="1"/>
    <col min="2" max="2" width="15.453125" style="13" hidden="1" customWidth="1"/>
    <col min="3" max="9" width="15.54296875" style="13" hidden="1" customWidth="1"/>
    <col min="10" max="10" width="16.1796875" style="11" hidden="1" customWidth="1"/>
    <col min="11" max="11" width="13.26953125" style="12" hidden="1" customWidth="1"/>
    <col min="12" max="14" width="15.453125" style="11" hidden="1" customWidth="1"/>
    <col min="15" max="15" width="2.26953125" style="11" hidden="1" customWidth="1"/>
    <col min="16" max="17" width="16.453125" style="11" hidden="1" customWidth="1"/>
    <col min="18" max="18" width="2.81640625" style="10" hidden="1" customWidth="1"/>
    <col min="19" max="19" width="16.1796875" style="11" hidden="1" customWidth="1"/>
    <col min="20" max="20" width="2.81640625" style="10" hidden="1" customWidth="1"/>
    <col min="21" max="21" width="16.453125" style="157" hidden="1" customWidth="1"/>
    <col min="22" max="22" width="19.81640625" style="157" hidden="1" customWidth="1"/>
    <col min="23" max="23" width="16.453125" style="154" hidden="1" customWidth="1"/>
    <col min="24" max="24" width="16.453125" style="8" hidden="1" customWidth="1"/>
    <col min="25" max="25" width="16.453125" style="9" hidden="1" customWidth="1"/>
    <col min="26" max="26" width="16.453125" style="8" hidden="1" customWidth="1"/>
    <col min="27" max="27" width="2.81640625" hidden="1" customWidth="1"/>
    <col min="28" max="28" width="11.26953125" hidden="1" customWidth="1"/>
    <col min="29" max="29" width="4.453125" hidden="1" customWidth="1"/>
    <col min="30" max="30" width="18.81640625" hidden="1" customWidth="1"/>
    <col min="31" max="31" width="4.7265625" hidden="1" customWidth="1"/>
    <col min="32" max="32" width="18.81640625" style="8" hidden="1" customWidth="1"/>
    <col min="33" max="33" width="9.81640625" hidden="1" customWidth="1"/>
    <col min="34" max="34" width="39.1796875" style="2" bestFit="1" customWidth="1"/>
    <col min="35" max="35" width="15.7265625" style="2" bestFit="1" customWidth="1"/>
    <col min="36" max="36" width="4.81640625" customWidth="1"/>
    <col min="37" max="37" width="39" style="2" bestFit="1" customWidth="1"/>
    <col min="38" max="38" width="15.54296875" bestFit="1" customWidth="1"/>
    <col min="39" max="41" width="9.1796875" hidden="1" customWidth="1"/>
    <col min="42" max="42" width="12.453125" hidden="1" customWidth="1"/>
    <col min="43" max="16384" width="9.1796875" hidden="1"/>
  </cols>
  <sheetData>
    <row r="1" spans="1:42" ht="16" hidden="1" thickBot="1" x14ac:dyDescent="0.4">
      <c r="A1" s="267" t="s">
        <v>0</v>
      </c>
      <c r="B1" s="268">
        <v>0.8</v>
      </c>
      <c r="C1" s="268"/>
      <c r="D1" s="268"/>
      <c r="E1" s="268"/>
      <c r="F1" s="268"/>
      <c r="G1" s="268"/>
      <c r="H1" s="268"/>
      <c r="I1" s="268"/>
      <c r="J1" s="268"/>
      <c r="L1" s="257" t="s">
        <v>1</v>
      </c>
      <c r="M1" s="258"/>
      <c r="N1" s="259"/>
      <c r="P1" s="258" t="s">
        <v>2</v>
      </c>
      <c r="Q1" s="258"/>
      <c r="S1" s="258" t="s">
        <v>3</v>
      </c>
      <c r="U1" s="263" t="s">
        <v>4</v>
      </c>
      <c r="V1" s="263"/>
      <c r="W1" s="263"/>
      <c r="X1" s="263"/>
      <c r="Y1" s="263"/>
      <c r="Z1" s="263"/>
    </row>
    <row r="2" spans="1:42" s="36" customFormat="1" ht="16" thickBot="1" x14ac:dyDescent="0.4">
      <c r="A2" s="267"/>
      <c r="B2" s="264" t="s">
        <v>5</v>
      </c>
      <c r="C2" s="264"/>
      <c r="D2" s="264"/>
      <c r="E2" s="264" t="s">
        <v>6</v>
      </c>
      <c r="F2" s="264"/>
      <c r="G2" s="264"/>
      <c r="H2" s="254" t="s">
        <v>7</v>
      </c>
      <c r="I2" s="254" t="s">
        <v>8</v>
      </c>
      <c r="J2" s="256" t="s">
        <v>9</v>
      </c>
      <c r="K2" s="39"/>
      <c r="L2" s="260"/>
      <c r="M2" s="261"/>
      <c r="N2" s="262"/>
      <c r="O2" s="38"/>
      <c r="P2" s="261"/>
      <c r="Q2" s="261"/>
      <c r="R2" s="37"/>
      <c r="S2" s="261"/>
      <c r="T2" s="37"/>
      <c r="U2" s="264" t="s">
        <v>5</v>
      </c>
      <c r="V2" s="264"/>
      <c r="W2" s="264"/>
      <c r="X2" s="264" t="s">
        <v>6</v>
      </c>
      <c r="Y2" s="264"/>
      <c r="Z2" s="116" t="s">
        <v>7</v>
      </c>
      <c r="AB2" s="265" t="s">
        <v>10</v>
      </c>
      <c r="AD2" s="265" t="s">
        <v>11</v>
      </c>
      <c r="AF2" s="269" t="s">
        <v>12</v>
      </c>
      <c r="AH2" s="151" t="s">
        <v>13</v>
      </c>
      <c r="AI2" s="161" t="s">
        <v>14</v>
      </c>
      <c r="AK2" s="253" t="s">
        <v>15</v>
      </c>
      <c r="AL2" s="253"/>
    </row>
    <row r="3" spans="1:42" s="32" customFormat="1" ht="44" thickBot="1" x14ac:dyDescent="0.4">
      <c r="A3" s="267"/>
      <c r="B3" s="113" t="s">
        <v>16</v>
      </c>
      <c r="C3" s="113" t="s">
        <v>17</v>
      </c>
      <c r="D3" s="113" t="s">
        <v>18</v>
      </c>
      <c r="E3" s="113" t="s">
        <v>16</v>
      </c>
      <c r="F3" s="113" t="s">
        <v>17</v>
      </c>
      <c r="G3" s="113" t="s">
        <v>18</v>
      </c>
      <c r="H3" s="255"/>
      <c r="I3" s="255"/>
      <c r="J3" s="255"/>
      <c r="K3" s="35"/>
      <c r="L3" s="113" t="s">
        <v>19</v>
      </c>
      <c r="M3" s="113" t="s">
        <v>20</v>
      </c>
      <c r="N3" s="113" t="s">
        <v>21</v>
      </c>
      <c r="O3" s="34"/>
      <c r="P3" s="114" t="s">
        <v>22</v>
      </c>
      <c r="Q3" s="114" t="s">
        <v>23</v>
      </c>
      <c r="R3" s="33"/>
      <c r="S3" s="115" t="s">
        <v>24</v>
      </c>
      <c r="T3" s="33"/>
      <c r="U3" s="155" t="s">
        <v>25</v>
      </c>
      <c r="V3" s="155" t="s">
        <v>26</v>
      </c>
      <c r="W3" s="152" t="s">
        <v>27</v>
      </c>
      <c r="X3" s="118" t="s">
        <v>28</v>
      </c>
      <c r="Y3" s="117" t="s">
        <v>27</v>
      </c>
      <c r="Z3" s="119" t="s">
        <v>28</v>
      </c>
      <c r="AB3" s="266"/>
      <c r="AD3" s="266"/>
      <c r="AF3" s="269"/>
      <c r="AH3" s="27" t="s">
        <v>29</v>
      </c>
      <c r="AI3" s="31">
        <f>AI4+AI14+AI15+AI16</f>
        <v>13867683.309999999</v>
      </c>
      <c r="AK3" s="27" t="s">
        <v>30</v>
      </c>
      <c r="AL3" s="26">
        <f>VLOOKUP($AI$2,'Diretrizes - Resumo'!$A$4:$AF$30,16,)</f>
        <v>1071282.72</v>
      </c>
    </row>
    <row r="4" spans="1:42" ht="16" thickBot="1" x14ac:dyDescent="0.4">
      <c r="A4" s="120" t="s">
        <v>31</v>
      </c>
      <c r="B4" s="13">
        <v>199775.49</v>
      </c>
      <c r="C4" s="13">
        <v>50831.97</v>
      </c>
      <c r="D4" s="18">
        <f t="shared" ref="D4" si="0">B4+C4</f>
        <v>250607.46</v>
      </c>
      <c r="E4" s="13">
        <v>21035.86</v>
      </c>
      <c r="F4" s="13">
        <v>15616.73</v>
      </c>
      <c r="G4" s="18">
        <f t="shared" ref="G4" si="1">E4+F4</f>
        <v>36652.589999999997</v>
      </c>
      <c r="H4" s="13">
        <v>294395.90000000002</v>
      </c>
      <c r="I4" s="13">
        <v>40664.76</v>
      </c>
      <c r="J4" s="18">
        <f t="shared" ref="J4:J30" si="2">I4+H4+G4+D4</f>
        <v>622320.71</v>
      </c>
      <c r="K4" s="40">
        <v>0</v>
      </c>
      <c r="L4" s="13">
        <v>11574.73</v>
      </c>
      <c r="M4" s="13">
        <v>23625.16</v>
      </c>
      <c r="N4" s="13">
        <v>932276.14479999989</v>
      </c>
      <c r="P4" s="13">
        <v>47917</v>
      </c>
      <c r="Q4" s="13">
        <v>6204.49</v>
      </c>
      <c r="S4" s="13">
        <v>3028.56</v>
      </c>
      <c r="T4" s="13"/>
      <c r="U4" s="156">
        <v>810</v>
      </c>
      <c r="V4" s="156">
        <v>797</v>
      </c>
      <c r="W4" s="153">
        <v>0.4175680893439776</v>
      </c>
      <c r="X4" s="156">
        <v>197</v>
      </c>
      <c r="Y4" s="153">
        <v>0.59898477157360408</v>
      </c>
      <c r="Z4" s="156">
        <v>3072</v>
      </c>
      <c r="AA4" s="13"/>
      <c r="AB4" s="13"/>
      <c r="AC4" s="13"/>
      <c r="AD4" s="13">
        <v>763867.72000000009</v>
      </c>
      <c r="AE4" s="11"/>
      <c r="AF4" s="74">
        <v>830026</v>
      </c>
      <c r="AH4" s="22" t="s">
        <v>32</v>
      </c>
      <c r="AI4" s="31">
        <f>AI5+AI12+AI13</f>
        <v>13810599.309999999</v>
      </c>
      <c r="AK4" s="22" t="s">
        <v>33</v>
      </c>
      <c r="AL4" s="26">
        <f>VLOOKUP($AI$2,'Diretrizes - Resumo'!$A$4:$AF$30,17,)</f>
        <v>139896.03</v>
      </c>
      <c r="AP4" s="16"/>
    </row>
    <row r="5" spans="1:42" ht="16" thickBot="1" x14ac:dyDescent="0.4">
      <c r="A5" s="120" t="s">
        <v>34</v>
      </c>
      <c r="B5" s="13">
        <v>637415.41</v>
      </c>
      <c r="C5" s="13">
        <v>150894.57999999999</v>
      </c>
      <c r="D5" s="18">
        <f t="shared" ref="D5:D30" si="3">B5+C5</f>
        <v>788309.99</v>
      </c>
      <c r="E5" s="13">
        <v>21259.47</v>
      </c>
      <c r="F5" s="13">
        <v>26731.74</v>
      </c>
      <c r="G5" s="18">
        <f t="shared" ref="G5:G30" si="4">E5+F5</f>
        <v>47991.210000000006</v>
      </c>
      <c r="H5" s="13">
        <v>894687.55</v>
      </c>
      <c r="I5" s="13">
        <v>85904.58</v>
      </c>
      <c r="J5" s="18">
        <f t="shared" si="2"/>
        <v>1816893.33</v>
      </c>
      <c r="K5" s="40">
        <v>0</v>
      </c>
      <c r="L5" s="13">
        <v>33789.870000000003</v>
      </c>
      <c r="M5" s="13"/>
      <c r="N5" s="13"/>
      <c r="P5" s="13">
        <v>141905.78</v>
      </c>
      <c r="Q5" s="13">
        <v>18353.019999999997</v>
      </c>
      <c r="S5" s="13">
        <v>7129.63</v>
      </c>
      <c r="T5" s="13"/>
      <c r="U5" s="156">
        <v>2408</v>
      </c>
      <c r="V5" s="156">
        <v>2298</v>
      </c>
      <c r="W5" s="153">
        <v>0.33592793406868943</v>
      </c>
      <c r="X5" s="156">
        <v>206</v>
      </c>
      <c r="Y5" s="153">
        <v>0.61165048543689327</v>
      </c>
      <c r="Z5" s="158">
        <v>9336</v>
      </c>
      <c r="AA5" s="13"/>
      <c r="AB5" s="13"/>
      <c r="AC5" s="13"/>
      <c r="AD5" s="13">
        <v>1491564.8399999999</v>
      </c>
      <c r="AE5" s="11"/>
      <c r="AF5" s="74">
        <v>3127511</v>
      </c>
      <c r="AH5" s="22" t="s">
        <v>35</v>
      </c>
      <c r="AI5" s="31">
        <f>AI6+AI9</f>
        <v>7006162.6799999997</v>
      </c>
      <c r="AK5" s="22" t="s">
        <v>36</v>
      </c>
      <c r="AL5" s="26">
        <f>VLOOKUP($AI$2,'Diretrizes - Resumo'!$A$4:$AF$30,12,)</f>
        <v>256850.45</v>
      </c>
      <c r="AP5" s="16"/>
    </row>
    <row r="6" spans="1:42" ht="16" thickBot="1" x14ac:dyDescent="0.4">
      <c r="A6" s="120" t="s">
        <v>37</v>
      </c>
      <c r="B6" s="13">
        <v>646854.02</v>
      </c>
      <c r="C6" s="13">
        <v>202498.47</v>
      </c>
      <c r="D6" s="18">
        <f t="shared" si="3"/>
        <v>849352.49</v>
      </c>
      <c r="E6" s="13">
        <v>28185.71</v>
      </c>
      <c r="F6" s="13">
        <v>30503.82</v>
      </c>
      <c r="G6" s="18">
        <f t="shared" si="4"/>
        <v>58689.53</v>
      </c>
      <c r="H6" s="13">
        <v>797130.58</v>
      </c>
      <c r="I6" s="13">
        <v>79288.639999999999</v>
      </c>
      <c r="J6" s="18">
        <f t="shared" si="2"/>
        <v>1784461.24</v>
      </c>
      <c r="K6" s="40">
        <v>0</v>
      </c>
      <c r="L6" s="13">
        <v>33180.800000000003</v>
      </c>
      <c r="M6" s="13"/>
      <c r="N6" s="13"/>
      <c r="P6" s="13">
        <v>140617.48000000001</v>
      </c>
      <c r="Q6" s="13">
        <v>17995.64</v>
      </c>
      <c r="S6" s="13">
        <v>6706.87</v>
      </c>
      <c r="T6" s="13"/>
      <c r="U6" s="156">
        <v>2650</v>
      </c>
      <c r="V6" s="156">
        <v>2619</v>
      </c>
      <c r="W6" s="153">
        <v>0.42485271750185855</v>
      </c>
      <c r="X6" s="156">
        <v>361</v>
      </c>
      <c r="Y6" s="153">
        <v>0.70360110803324105</v>
      </c>
      <c r="Z6" s="158">
        <v>8318</v>
      </c>
      <c r="AA6" s="13"/>
      <c r="AB6" s="13"/>
      <c r="AC6" s="13"/>
      <c r="AD6" s="13">
        <v>1682727.07</v>
      </c>
      <c r="AE6" s="11"/>
      <c r="AF6" s="74">
        <v>3941175</v>
      </c>
      <c r="AH6" s="22" t="s">
        <v>38</v>
      </c>
      <c r="AI6" s="30">
        <f>SUM(AI7:AI8)</f>
        <v>6560754.6799999997</v>
      </c>
      <c r="AK6" s="22" t="s">
        <v>39</v>
      </c>
      <c r="AL6" s="26">
        <f>VLOOKUP($AI$2,'Diretrizes - Resumo'!$A$4:$AF$30,13,)</f>
        <v>0</v>
      </c>
      <c r="AP6" s="16"/>
    </row>
    <row r="7" spans="1:42" ht="16" thickBot="1" x14ac:dyDescent="0.4">
      <c r="A7" s="120" t="s">
        <v>40</v>
      </c>
      <c r="B7" s="13">
        <v>218824.12</v>
      </c>
      <c r="C7" s="13">
        <v>92121.73</v>
      </c>
      <c r="D7" s="18">
        <f t="shared" si="3"/>
        <v>310945.84999999998</v>
      </c>
      <c r="E7" s="13">
        <v>31785.78</v>
      </c>
      <c r="F7" s="13">
        <v>38672.339999999997</v>
      </c>
      <c r="G7" s="18">
        <f t="shared" si="4"/>
        <v>70458.12</v>
      </c>
      <c r="H7" s="13">
        <v>404411.04</v>
      </c>
      <c r="I7" s="13">
        <v>52283.58</v>
      </c>
      <c r="J7" s="18">
        <f t="shared" si="2"/>
        <v>838098.59</v>
      </c>
      <c r="K7" s="40">
        <v>0</v>
      </c>
      <c r="L7" s="13">
        <v>15585.33</v>
      </c>
      <c r="M7" s="13">
        <v>14840</v>
      </c>
      <c r="N7" s="13">
        <v>741550.4381599999</v>
      </c>
      <c r="P7" s="13">
        <v>62629.760000000002</v>
      </c>
      <c r="Q7" s="13">
        <v>7990.6500000000005</v>
      </c>
      <c r="S7" s="13">
        <v>3304.86</v>
      </c>
      <c r="T7" s="13"/>
      <c r="U7" s="156">
        <v>948</v>
      </c>
      <c r="V7" s="156">
        <v>940</v>
      </c>
      <c r="W7" s="153">
        <v>0.4380002813331369</v>
      </c>
      <c r="X7" s="156">
        <v>398</v>
      </c>
      <c r="Y7" s="153">
        <v>0.70351758793969854</v>
      </c>
      <c r="Z7" s="158">
        <v>4220</v>
      </c>
      <c r="AA7" s="13"/>
      <c r="AB7" s="13"/>
      <c r="AC7" s="13"/>
      <c r="AD7" s="13">
        <v>890032.54</v>
      </c>
      <c r="AE7" s="11"/>
      <c r="AF7" s="74">
        <v>733508</v>
      </c>
      <c r="AH7" s="28" t="s">
        <v>41</v>
      </c>
      <c r="AI7" s="26">
        <f>VLOOKUP($AI$2,'Diretrizes - Resumo'!$A$4:$AF$30,2,)</f>
        <v>5661587.5</v>
      </c>
      <c r="AK7" s="44" t="s">
        <v>10</v>
      </c>
      <c r="AL7" s="43">
        <f>VLOOKUP($AI$2,$A$4:$AD$30,29,)</f>
        <v>0</v>
      </c>
      <c r="AP7" s="16"/>
    </row>
    <row r="8" spans="1:42" ht="16" thickBot="1" x14ac:dyDescent="0.4">
      <c r="A8" s="120" t="s">
        <v>42</v>
      </c>
      <c r="B8" s="13">
        <v>2072430.36</v>
      </c>
      <c r="C8" s="13">
        <v>468056.2</v>
      </c>
      <c r="D8" s="18">
        <f t="shared" si="3"/>
        <v>2540486.56</v>
      </c>
      <c r="E8" s="13">
        <v>123973.51</v>
      </c>
      <c r="F8" s="13">
        <v>111757.77</v>
      </c>
      <c r="G8" s="18">
        <f t="shared" si="4"/>
        <v>235731.28</v>
      </c>
      <c r="H8" s="13">
        <v>2434995.29</v>
      </c>
      <c r="I8" s="13">
        <v>249922.3</v>
      </c>
      <c r="J8" s="18">
        <f t="shared" si="2"/>
        <v>5461135.4299999997</v>
      </c>
      <c r="K8" s="40">
        <v>0</v>
      </c>
      <c r="L8" s="13">
        <v>101574.18</v>
      </c>
      <c r="M8" s="13"/>
      <c r="N8" s="13"/>
      <c r="P8" s="13">
        <v>433447.85</v>
      </c>
      <c r="Q8" s="13">
        <v>56512.35</v>
      </c>
      <c r="S8" s="13">
        <v>16155.58</v>
      </c>
      <c r="T8" s="13"/>
      <c r="U8" s="156">
        <v>8319</v>
      </c>
      <c r="V8" s="156">
        <v>7412</v>
      </c>
      <c r="W8" s="153">
        <v>0.31745889300209945</v>
      </c>
      <c r="X8" s="156">
        <v>1181</v>
      </c>
      <c r="Y8" s="153">
        <v>0.60795935647756139</v>
      </c>
      <c r="Z8" s="158">
        <v>25409</v>
      </c>
      <c r="AA8" s="13"/>
      <c r="AB8" s="13"/>
      <c r="AC8" s="13"/>
      <c r="AD8" s="13">
        <v>10977447.08</v>
      </c>
      <c r="AE8" s="11"/>
      <c r="AF8" s="74">
        <v>14136417</v>
      </c>
      <c r="AH8" s="28" t="s">
        <v>43</v>
      </c>
      <c r="AI8" s="26">
        <f>VLOOKUP($AI$2,'Diretrizes - Resumo'!$A$4:$AF$30,3,)</f>
        <v>899167.18</v>
      </c>
      <c r="AK8" s="22" t="s">
        <v>44</v>
      </c>
      <c r="AL8" s="26">
        <f>VLOOKUP($AI$2,'Diretrizes - Resumo'!$A$4:$AF$30,30,)</f>
        <v>16972819.699999999</v>
      </c>
      <c r="AP8" s="16"/>
    </row>
    <row r="9" spans="1:42" ht="16" thickBot="1" x14ac:dyDescent="0.4">
      <c r="A9" s="120" t="s">
        <v>45</v>
      </c>
      <c r="B9" s="13">
        <v>1430008.66</v>
      </c>
      <c r="C9" s="13">
        <v>246481.82</v>
      </c>
      <c r="D9" s="18">
        <f t="shared" si="3"/>
        <v>1676490.48</v>
      </c>
      <c r="E9" s="13">
        <v>71766.78</v>
      </c>
      <c r="F9" s="13">
        <v>36770.480000000003</v>
      </c>
      <c r="G9" s="18">
        <f t="shared" si="4"/>
        <v>108537.26000000001</v>
      </c>
      <c r="H9" s="13">
        <v>1674951.7</v>
      </c>
      <c r="I9" s="13">
        <v>237442.61</v>
      </c>
      <c r="J9" s="18">
        <f t="shared" si="2"/>
        <v>3697422.05</v>
      </c>
      <c r="K9" s="40">
        <v>0</v>
      </c>
      <c r="L9" s="13">
        <v>68762.679999999993</v>
      </c>
      <c r="M9" s="13"/>
      <c r="N9" s="13"/>
      <c r="P9" s="13">
        <v>293869.21000000002</v>
      </c>
      <c r="Q9" s="13">
        <v>38343.39</v>
      </c>
      <c r="S9" s="13">
        <v>10576.38</v>
      </c>
      <c r="T9" s="13"/>
      <c r="U9" s="156">
        <v>5594</v>
      </c>
      <c r="V9" s="156">
        <v>5364</v>
      </c>
      <c r="W9" s="153">
        <v>0.35031602398493639</v>
      </c>
      <c r="X9" s="156">
        <v>580</v>
      </c>
      <c r="Y9" s="153">
        <v>0.5379310344827587</v>
      </c>
      <c r="Z9" s="158">
        <v>17478</v>
      </c>
      <c r="AA9" s="13"/>
      <c r="AB9" s="13"/>
      <c r="AC9" s="13"/>
      <c r="AD9" s="13">
        <v>3259254.46</v>
      </c>
      <c r="AE9" s="11"/>
      <c r="AF9" s="74">
        <v>8791688</v>
      </c>
      <c r="AH9" s="22" t="s">
        <v>46</v>
      </c>
      <c r="AI9" s="29">
        <f>SUM(AI10:AI11)</f>
        <v>445408</v>
      </c>
      <c r="AP9" s="16"/>
    </row>
    <row r="10" spans="1:42" ht="16" thickBot="1" x14ac:dyDescent="0.4">
      <c r="A10" s="120" t="s">
        <v>47</v>
      </c>
      <c r="B10" s="13">
        <v>2079832.22</v>
      </c>
      <c r="C10" s="13">
        <v>444034.19</v>
      </c>
      <c r="D10" s="18">
        <f t="shared" si="3"/>
        <v>2523866.41</v>
      </c>
      <c r="E10" s="13">
        <v>115482.02</v>
      </c>
      <c r="F10" s="13">
        <v>58293.42</v>
      </c>
      <c r="G10" s="18">
        <f t="shared" si="4"/>
        <v>173775.44</v>
      </c>
      <c r="H10" s="13">
        <v>1730150.93</v>
      </c>
      <c r="I10" s="13">
        <v>353311.08</v>
      </c>
      <c r="J10" s="18">
        <f t="shared" si="2"/>
        <v>4781103.8600000003</v>
      </c>
      <c r="K10" s="40">
        <v>0</v>
      </c>
      <c r="L10" s="13">
        <v>87809.62</v>
      </c>
      <c r="M10" s="13"/>
      <c r="N10" s="13"/>
      <c r="P10" s="13">
        <v>360071.78</v>
      </c>
      <c r="Q10" s="13">
        <v>50602.63</v>
      </c>
      <c r="S10" s="13">
        <v>17814.330000000002</v>
      </c>
      <c r="T10" s="13"/>
      <c r="U10" s="156">
        <v>7176</v>
      </c>
      <c r="V10" s="156">
        <v>6595</v>
      </c>
      <c r="W10" s="153">
        <v>0.27057735806394045</v>
      </c>
      <c r="X10" s="156">
        <v>934</v>
      </c>
      <c r="Y10" s="153">
        <v>0.53747323340471087</v>
      </c>
      <c r="Z10" s="158">
        <v>18054</v>
      </c>
      <c r="AA10" s="13"/>
      <c r="AB10" s="13"/>
      <c r="AC10" s="13"/>
      <c r="AD10" s="13">
        <v>1748489.97</v>
      </c>
      <c r="AE10" s="11"/>
      <c r="AF10" s="74">
        <v>2817068</v>
      </c>
      <c r="AH10" s="28" t="s">
        <v>48</v>
      </c>
      <c r="AI10" s="26">
        <f>VLOOKUP($AI$2,'Diretrizes - Resumo'!$A$4:$AF$30,5,)</f>
        <v>343751.59</v>
      </c>
      <c r="AP10" s="16"/>
    </row>
    <row r="11" spans="1:42" ht="16" thickBot="1" x14ac:dyDescent="0.4">
      <c r="A11" s="120" t="s">
        <v>49</v>
      </c>
      <c r="B11" s="13">
        <v>1757634.45</v>
      </c>
      <c r="C11" s="13">
        <v>99349.03</v>
      </c>
      <c r="D11" s="18">
        <f>B11+C11</f>
        <v>1856983.48</v>
      </c>
      <c r="E11" s="13">
        <v>103552.57</v>
      </c>
      <c r="F11" s="13">
        <v>14011.84</v>
      </c>
      <c r="G11" s="18">
        <f t="shared" si="4"/>
        <v>117564.41</v>
      </c>
      <c r="H11" s="13">
        <v>1737817.49</v>
      </c>
      <c r="I11" s="13">
        <v>171674.2</v>
      </c>
      <c r="J11" s="18">
        <f>I11+H11+G11+D11</f>
        <v>3884039.58</v>
      </c>
      <c r="K11" s="40">
        <v>0</v>
      </c>
      <c r="L11" s="13">
        <v>72248.27</v>
      </c>
      <c r="M11" s="13"/>
      <c r="N11" s="13"/>
      <c r="P11" s="13">
        <v>287590.02</v>
      </c>
      <c r="Q11" s="13">
        <v>37336.67</v>
      </c>
      <c r="S11" s="13">
        <v>14316.99</v>
      </c>
      <c r="T11" s="13"/>
      <c r="U11" s="156">
        <v>4558</v>
      </c>
      <c r="V11" s="156">
        <v>4439</v>
      </c>
      <c r="W11" s="153">
        <v>0.1004313870117139</v>
      </c>
      <c r="X11" s="156">
        <v>521</v>
      </c>
      <c r="Y11" s="153">
        <v>0.25911708253358923</v>
      </c>
      <c r="Z11" s="158">
        <v>18134</v>
      </c>
      <c r="AA11" s="13"/>
      <c r="AB11" s="13"/>
      <c r="AC11" s="13"/>
      <c r="AD11" s="13">
        <v>568690.15</v>
      </c>
      <c r="AE11" s="11"/>
      <c r="AF11" s="74">
        <v>3833486</v>
      </c>
      <c r="AH11" s="28" t="s">
        <v>50</v>
      </c>
      <c r="AI11" s="26">
        <f>VLOOKUP($AI$2,'Diretrizes - Resumo'!$A$4:$AF$30,6,)</f>
        <v>101656.41</v>
      </c>
      <c r="AP11" s="16"/>
    </row>
    <row r="12" spans="1:42" ht="16" thickBot="1" x14ac:dyDescent="0.4">
      <c r="A12" s="120" t="s">
        <v>51</v>
      </c>
      <c r="B12" s="13">
        <v>1560962.97</v>
      </c>
      <c r="C12" s="13">
        <v>445852.92</v>
      </c>
      <c r="D12" s="18">
        <f t="shared" si="3"/>
        <v>2006815.89</v>
      </c>
      <c r="E12" s="13">
        <v>85557.759999999995</v>
      </c>
      <c r="F12" s="13">
        <v>70472.509999999995</v>
      </c>
      <c r="G12" s="18">
        <f t="shared" si="4"/>
        <v>156030.26999999999</v>
      </c>
      <c r="H12" s="13">
        <v>3025032.91</v>
      </c>
      <c r="I12" s="13">
        <v>181179.87</v>
      </c>
      <c r="J12" s="18">
        <f t="shared" si="2"/>
        <v>5369058.9400000004</v>
      </c>
      <c r="K12" s="40">
        <v>0</v>
      </c>
      <c r="L12" s="13">
        <v>99829.16</v>
      </c>
      <c r="M12" s="13"/>
      <c r="N12" s="13"/>
      <c r="P12" s="13">
        <v>415372.70999999996</v>
      </c>
      <c r="Q12" s="13">
        <v>54245.299999999996</v>
      </c>
      <c r="S12" s="13">
        <v>24208.639999999999</v>
      </c>
      <c r="T12" s="13"/>
      <c r="U12" s="156">
        <v>5911</v>
      </c>
      <c r="V12" s="156">
        <v>5630</v>
      </c>
      <c r="W12" s="153">
        <v>0.34194806626907137</v>
      </c>
      <c r="X12" s="156">
        <v>866</v>
      </c>
      <c r="Y12" s="153">
        <v>0.63394919168591224</v>
      </c>
      <c r="Z12" s="158">
        <v>31566</v>
      </c>
      <c r="AA12" s="13"/>
      <c r="AB12" s="13"/>
      <c r="AC12" s="13"/>
      <c r="AD12" s="13">
        <v>4409011.09</v>
      </c>
      <c r="AE12" s="11"/>
      <c r="AF12" s="74">
        <v>7055228</v>
      </c>
      <c r="AH12" s="24" t="s">
        <v>52</v>
      </c>
      <c r="AI12" s="26">
        <f>VLOOKUP($AI$2,'Diretrizes - Resumo'!$A$4:$AF$30,8,)</f>
        <v>6123281.4699999997</v>
      </c>
      <c r="AP12" s="16"/>
    </row>
    <row r="13" spans="1:42" ht="16" thickBot="1" x14ac:dyDescent="0.4">
      <c r="A13" s="120" t="s">
        <v>53</v>
      </c>
      <c r="B13" s="13">
        <v>610054.04</v>
      </c>
      <c r="C13" s="13">
        <v>200329.78</v>
      </c>
      <c r="D13" s="18">
        <f t="shared" si="3"/>
        <v>810383.82000000007</v>
      </c>
      <c r="E13" s="13">
        <v>30365.88</v>
      </c>
      <c r="F13" s="13">
        <v>52136.43</v>
      </c>
      <c r="G13" s="18">
        <f t="shared" si="4"/>
        <v>82502.31</v>
      </c>
      <c r="H13" s="13">
        <v>754293.67</v>
      </c>
      <c r="I13" s="13">
        <v>71434.89</v>
      </c>
      <c r="J13" s="18">
        <f t="shared" si="2"/>
        <v>1718614.6900000002</v>
      </c>
      <c r="K13" s="40">
        <v>0</v>
      </c>
      <c r="L13" s="13">
        <v>31952.45</v>
      </c>
      <c r="M13" s="13">
        <v>19938.080000000002</v>
      </c>
      <c r="N13" s="13">
        <v>172557.53999999998</v>
      </c>
      <c r="P13" s="13">
        <v>135286.72999999998</v>
      </c>
      <c r="Q13" s="13">
        <v>17332.73</v>
      </c>
      <c r="S13" s="13">
        <v>4830.3</v>
      </c>
      <c r="T13" s="13"/>
      <c r="U13" s="156">
        <v>2577</v>
      </c>
      <c r="V13" s="156">
        <v>2535</v>
      </c>
      <c r="W13" s="153">
        <v>0.43844302180583333</v>
      </c>
      <c r="X13" s="156">
        <v>376</v>
      </c>
      <c r="Y13" s="153">
        <v>0.69946808510638303</v>
      </c>
      <c r="Z13" s="158">
        <v>7871</v>
      </c>
      <c r="AA13" s="13"/>
      <c r="AB13" s="13"/>
      <c r="AC13" s="13"/>
      <c r="AD13" s="13">
        <v>209765.15000000002</v>
      </c>
      <c r="AE13" s="11"/>
      <c r="AF13" s="74">
        <v>6775152</v>
      </c>
      <c r="AH13" s="24" t="s">
        <v>54</v>
      </c>
      <c r="AI13" s="26">
        <f>VLOOKUP($AI$2,'Diretrizes - Resumo'!$A$4:$AF$30,9,)</f>
        <v>681155.16</v>
      </c>
      <c r="AP13" s="16"/>
    </row>
    <row r="14" spans="1:42" ht="16" thickBot="1" x14ac:dyDescent="0.4">
      <c r="A14" s="120" t="s">
        <v>14</v>
      </c>
      <c r="B14" s="13">
        <v>5661587.5</v>
      </c>
      <c r="C14" s="13">
        <v>899167.18</v>
      </c>
      <c r="D14" s="18">
        <f t="shared" si="3"/>
        <v>6560754.6799999997</v>
      </c>
      <c r="E14" s="13">
        <v>343751.59</v>
      </c>
      <c r="F14" s="13">
        <v>101656.41</v>
      </c>
      <c r="G14" s="18">
        <f t="shared" si="4"/>
        <v>445408</v>
      </c>
      <c r="H14" s="13">
        <v>6123281.4699999997</v>
      </c>
      <c r="I14" s="13">
        <v>681155.16</v>
      </c>
      <c r="J14" s="18">
        <f t="shared" si="2"/>
        <v>13810599.309999999</v>
      </c>
      <c r="K14" s="40">
        <v>0</v>
      </c>
      <c r="L14" s="13">
        <v>256850.45</v>
      </c>
      <c r="M14" s="13"/>
      <c r="N14" s="13"/>
      <c r="P14" s="13">
        <v>1071282.72</v>
      </c>
      <c r="Q14" s="13">
        <v>139896.03</v>
      </c>
      <c r="S14" s="13">
        <v>57084</v>
      </c>
      <c r="T14" s="13"/>
      <c r="U14" s="156">
        <v>19513</v>
      </c>
      <c r="V14" s="156">
        <v>18636</v>
      </c>
      <c r="W14" s="153">
        <v>0.28882733834207402</v>
      </c>
      <c r="X14" s="156">
        <v>2346</v>
      </c>
      <c r="Y14" s="153">
        <v>0.45353793691389599</v>
      </c>
      <c r="Z14" s="158">
        <v>63896</v>
      </c>
      <c r="AA14" s="13"/>
      <c r="AB14" s="13"/>
      <c r="AC14" s="13"/>
      <c r="AD14" s="13">
        <v>16972819.699999999</v>
      </c>
      <c r="AE14" s="11"/>
      <c r="AF14" s="74">
        <v>20538718</v>
      </c>
      <c r="AH14" s="24" t="s">
        <v>55</v>
      </c>
      <c r="AI14" s="25"/>
      <c r="AP14" s="16"/>
    </row>
    <row r="15" spans="1:42" ht="16" thickBot="1" x14ac:dyDescent="0.4">
      <c r="A15" s="120" t="s">
        <v>56</v>
      </c>
      <c r="B15" s="13">
        <v>946864.34</v>
      </c>
      <c r="C15" s="13">
        <v>360969.36</v>
      </c>
      <c r="D15" s="18">
        <f t="shared" si="3"/>
        <v>1307833.7</v>
      </c>
      <c r="E15" s="13">
        <v>76674.960000000006</v>
      </c>
      <c r="F15" s="13">
        <v>75171.22</v>
      </c>
      <c r="G15" s="18">
        <f t="shared" si="4"/>
        <v>151846.18</v>
      </c>
      <c r="H15" s="13">
        <v>2041604.93</v>
      </c>
      <c r="I15" s="13">
        <v>221046.48</v>
      </c>
      <c r="J15" s="18">
        <f t="shared" si="2"/>
        <v>3722331.29</v>
      </c>
      <c r="K15" s="40">
        <v>0</v>
      </c>
      <c r="L15" s="13">
        <v>69212.240000000005</v>
      </c>
      <c r="M15" s="13"/>
      <c r="N15" s="13"/>
      <c r="P15" s="13">
        <v>283776.18000000005</v>
      </c>
      <c r="Q15" s="13">
        <v>36778.699999999997</v>
      </c>
      <c r="S15" s="13">
        <v>16968.599999999999</v>
      </c>
      <c r="T15" s="13"/>
      <c r="U15" s="156">
        <v>3964</v>
      </c>
      <c r="V15" s="156">
        <v>3839</v>
      </c>
      <c r="W15" s="153">
        <v>0.41163534320702339</v>
      </c>
      <c r="X15" s="156">
        <v>778</v>
      </c>
      <c r="Y15" s="153">
        <v>0.63367609254498714</v>
      </c>
      <c r="Z15" s="158">
        <v>21304</v>
      </c>
      <c r="AA15" s="13"/>
      <c r="AB15" s="13"/>
      <c r="AC15" s="13"/>
      <c r="AD15" s="13">
        <v>1846216.87</v>
      </c>
      <c r="AE15" s="11"/>
      <c r="AF15" s="74">
        <v>2756700</v>
      </c>
      <c r="AH15" s="24" t="s">
        <v>57</v>
      </c>
      <c r="AI15" s="23">
        <f>VLOOKUP($AI$2,'Diretrizes - Resumo'!$A$4:$AF$30,19,)</f>
        <v>57084</v>
      </c>
      <c r="AP15" s="16"/>
    </row>
    <row r="16" spans="1:42" ht="16" thickBot="1" x14ac:dyDescent="0.4">
      <c r="A16" s="120" t="s">
        <v>58</v>
      </c>
      <c r="B16" s="13">
        <v>1163515.67</v>
      </c>
      <c r="C16" s="13">
        <v>240164.97</v>
      </c>
      <c r="D16" s="18">
        <f t="shared" si="3"/>
        <v>1403680.64</v>
      </c>
      <c r="E16" s="13">
        <v>107655.76</v>
      </c>
      <c r="F16" s="13">
        <v>53270.61</v>
      </c>
      <c r="G16" s="18">
        <f t="shared" si="4"/>
        <v>160926.37</v>
      </c>
      <c r="H16" s="13">
        <v>3245542.34</v>
      </c>
      <c r="I16" s="13">
        <v>133969.56</v>
      </c>
      <c r="J16" s="18">
        <f t="shared" si="2"/>
        <v>4944118.91</v>
      </c>
      <c r="K16" s="40">
        <v>0</v>
      </c>
      <c r="L16" s="13">
        <v>91965.92</v>
      </c>
      <c r="M16" s="13"/>
      <c r="N16" s="13"/>
      <c r="P16" s="13">
        <v>377421.4</v>
      </c>
      <c r="Q16" s="13">
        <v>49228.03</v>
      </c>
      <c r="S16" s="13">
        <v>22244.86</v>
      </c>
      <c r="T16" s="13"/>
      <c r="U16" s="156">
        <v>3962</v>
      </c>
      <c r="V16" s="156">
        <v>3867</v>
      </c>
      <c r="W16" s="153">
        <v>0.31064267194701883</v>
      </c>
      <c r="X16" s="156">
        <v>846</v>
      </c>
      <c r="Y16" s="153">
        <v>0.5271867612293144</v>
      </c>
      <c r="Z16" s="158">
        <v>33867</v>
      </c>
      <c r="AA16" s="13"/>
      <c r="AB16" s="13"/>
      <c r="AC16" s="13"/>
      <c r="AD16" s="13">
        <v>2007665.18</v>
      </c>
      <c r="AE16" s="11"/>
      <c r="AF16" s="74">
        <v>3658813</v>
      </c>
      <c r="AH16" s="24" t="s">
        <v>59</v>
      </c>
      <c r="AI16" s="23">
        <f>VLOOKUP($AI$2,'Diretrizes - Resumo'!$A$4:$AF$30,14,)</f>
        <v>0</v>
      </c>
      <c r="AP16" s="16"/>
    </row>
    <row r="17" spans="1:42" ht="16" thickBot="1" x14ac:dyDescent="0.4">
      <c r="A17" s="120" t="s">
        <v>60</v>
      </c>
      <c r="B17" s="13">
        <v>761665.88</v>
      </c>
      <c r="C17" s="13">
        <v>376088.88</v>
      </c>
      <c r="D17" s="18">
        <f t="shared" si="3"/>
        <v>1137754.76</v>
      </c>
      <c r="E17" s="13">
        <v>52430.34</v>
      </c>
      <c r="F17" s="13">
        <v>47482.94</v>
      </c>
      <c r="G17" s="18">
        <f t="shared" si="4"/>
        <v>99913.279999999999</v>
      </c>
      <c r="H17" s="13">
        <v>1125259.3400000001</v>
      </c>
      <c r="I17" s="13">
        <v>117018.26</v>
      </c>
      <c r="J17" s="18">
        <f t="shared" si="2"/>
        <v>2479945.64</v>
      </c>
      <c r="K17" s="40">
        <v>0</v>
      </c>
      <c r="L17" s="13">
        <v>46120.52</v>
      </c>
      <c r="M17" s="13"/>
      <c r="N17" s="13"/>
      <c r="P17" s="13">
        <v>195248.63</v>
      </c>
      <c r="Q17" s="13">
        <v>25036.13</v>
      </c>
      <c r="S17" s="13">
        <v>9412.7000000000007</v>
      </c>
      <c r="T17" s="13"/>
      <c r="U17" s="156">
        <v>3627</v>
      </c>
      <c r="V17" s="156">
        <v>3435</v>
      </c>
      <c r="W17" s="153">
        <v>0.44412323373175056</v>
      </c>
      <c r="X17" s="156">
        <v>570</v>
      </c>
      <c r="Y17" s="153">
        <v>0.65614035087719291</v>
      </c>
      <c r="Z17" s="158">
        <v>11742</v>
      </c>
      <c r="AA17" s="13"/>
      <c r="AB17" s="13"/>
      <c r="AC17" s="13"/>
      <c r="AD17" s="13">
        <v>2111231.5100000002</v>
      </c>
      <c r="AE17" s="11"/>
      <c r="AF17" s="74">
        <v>8116132</v>
      </c>
      <c r="AH17" s="7"/>
      <c r="AI17" s="20"/>
      <c r="AP17" s="16"/>
    </row>
    <row r="18" spans="1:42" ht="16" thickBot="1" x14ac:dyDescent="0.4">
      <c r="A18" s="120" t="s">
        <v>61</v>
      </c>
      <c r="B18" s="13">
        <v>983653.5</v>
      </c>
      <c r="C18" s="13">
        <v>234329.25</v>
      </c>
      <c r="D18" s="18">
        <f t="shared" si="3"/>
        <v>1217982.75</v>
      </c>
      <c r="E18" s="13">
        <v>36453.589999999997</v>
      </c>
      <c r="F18" s="13">
        <v>45067.28</v>
      </c>
      <c r="G18" s="18">
        <f t="shared" si="4"/>
        <v>81520.87</v>
      </c>
      <c r="H18" s="13">
        <v>1192725.07</v>
      </c>
      <c r="I18" s="13">
        <v>164301.82999999999</v>
      </c>
      <c r="J18" s="18">
        <f t="shared" si="2"/>
        <v>2656530.52</v>
      </c>
      <c r="K18" s="40">
        <v>0</v>
      </c>
      <c r="L18" s="13">
        <v>49390.17</v>
      </c>
      <c r="M18" s="13"/>
      <c r="N18" s="13"/>
      <c r="P18" s="13">
        <v>205288.1</v>
      </c>
      <c r="Q18" s="13">
        <v>26903.86</v>
      </c>
      <c r="S18" s="13">
        <v>10271.459999999999</v>
      </c>
      <c r="T18" s="13"/>
      <c r="U18" s="156">
        <v>3668</v>
      </c>
      <c r="V18" s="156">
        <v>3574</v>
      </c>
      <c r="W18" s="153">
        <v>0.33317116942326447</v>
      </c>
      <c r="X18" s="156">
        <v>528</v>
      </c>
      <c r="Y18" s="153">
        <v>0.74053030303030309</v>
      </c>
      <c r="Z18" s="158">
        <v>12446</v>
      </c>
      <c r="AA18" s="13"/>
      <c r="AB18" s="13"/>
      <c r="AC18" s="13"/>
      <c r="AD18" s="13">
        <v>2516148.48</v>
      </c>
      <c r="AE18" s="11"/>
      <c r="AF18" s="74">
        <v>3974495</v>
      </c>
      <c r="AH18" s="253" t="s">
        <v>62</v>
      </c>
      <c r="AI18" s="253"/>
      <c r="AP18" s="16"/>
    </row>
    <row r="19" spans="1:42" ht="16" thickBot="1" x14ac:dyDescent="0.4">
      <c r="A19" s="120" t="s">
        <v>63</v>
      </c>
      <c r="B19" s="13">
        <v>1685031.26</v>
      </c>
      <c r="C19" s="13">
        <v>314777.33</v>
      </c>
      <c r="D19" s="18">
        <f t="shared" si="3"/>
        <v>1999808.59</v>
      </c>
      <c r="E19" s="13">
        <v>93887.14</v>
      </c>
      <c r="F19" s="13">
        <v>37276.239999999998</v>
      </c>
      <c r="G19" s="18">
        <f t="shared" si="4"/>
        <v>131163.38</v>
      </c>
      <c r="H19" s="13">
        <v>2018605.25</v>
      </c>
      <c r="I19" s="13">
        <v>234594.13</v>
      </c>
      <c r="J19" s="18">
        <f t="shared" si="2"/>
        <v>4384171.3499999996</v>
      </c>
      <c r="K19" s="40">
        <v>0</v>
      </c>
      <c r="L19" s="13">
        <v>80573.19</v>
      </c>
      <c r="M19" s="13"/>
      <c r="N19" s="13"/>
      <c r="P19" s="13">
        <v>342336.21</v>
      </c>
      <c r="Q19" s="13">
        <v>44775.19</v>
      </c>
      <c r="S19" s="13">
        <v>16356.44</v>
      </c>
      <c r="T19" s="13"/>
      <c r="U19" s="156">
        <v>6285</v>
      </c>
      <c r="V19" s="156">
        <v>5759</v>
      </c>
      <c r="W19" s="153">
        <v>0.30040905112338773</v>
      </c>
      <c r="X19" s="156">
        <v>677</v>
      </c>
      <c r="Y19" s="153">
        <v>0.48005908419497784</v>
      </c>
      <c r="Z19" s="158">
        <v>21064</v>
      </c>
      <c r="AA19" s="13"/>
      <c r="AB19" s="13"/>
      <c r="AC19" s="13"/>
      <c r="AD19" s="13">
        <v>1782606.69</v>
      </c>
      <c r="AE19" s="11"/>
      <c r="AF19" s="74">
        <v>9058155</v>
      </c>
      <c r="AH19" s="46" t="s">
        <v>64</v>
      </c>
      <c r="AI19" s="159">
        <f>VLOOKUP($AI$2,'Diretrizes - Resumo'!$A$4:$AF$30,21,)</f>
        <v>19513</v>
      </c>
      <c r="AP19" s="16"/>
    </row>
    <row r="20" spans="1:42" ht="16" thickBot="1" x14ac:dyDescent="0.4">
      <c r="A20" s="120" t="s">
        <v>65</v>
      </c>
      <c r="B20" s="13">
        <v>496015.14</v>
      </c>
      <c r="C20" s="13">
        <v>100624.74</v>
      </c>
      <c r="D20" s="18">
        <f t="shared" si="3"/>
        <v>596639.88</v>
      </c>
      <c r="E20" s="13">
        <v>46678.03</v>
      </c>
      <c r="F20" s="13">
        <v>40613.96</v>
      </c>
      <c r="G20" s="18">
        <f t="shared" si="4"/>
        <v>87291.989999999991</v>
      </c>
      <c r="H20" s="13">
        <v>589175.14</v>
      </c>
      <c r="I20" s="13">
        <v>46935.95</v>
      </c>
      <c r="J20" s="18">
        <f t="shared" si="2"/>
        <v>1320042.96</v>
      </c>
      <c r="K20" s="40">
        <v>0</v>
      </c>
      <c r="L20" s="13">
        <v>23970.74</v>
      </c>
      <c r="M20" s="13">
        <v>15896.68</v>
      </c>
      <c r="N20" s="13">
        <v>339426.79816000001</v>
      </c>
      <c r="P20" s="13">
        <v>100626.75</v>
      </c>
      <c r="Q20" s="13">
        <v>12847.06</v>
      </c>
      <c r="S20" s="13">
        <v>3932.12</v>
      </c>
      <c r="T20" s="13"/>
      <c r="U20" s="156">
        <v>1819</v>
      </c>
      <c r="V20" s="156">
        <v>1770</v>
      </c>
      <c r="W20" s="153">
        <v>0.32402017996737581</v>
      </c>
      <c r="X20" s="156">
        <v>378</v>
      </c>
      <c r="Y20" s="153">
        <v>0.544973544973545</v>
      </c>
      <c r="Z20" s="158">
        <v>6148</v>
      </c>
      <c r="AA20" s="13"/>
      <c r="AB20" s="13"/>
      <c r="AC20" s="13"/>
      <c r="AD20" s="13">
        <v>54950.860000000015</v>
      </c>
      <c r="AE20" s="11"/>
      <c r="AF20" s="74">
        <v>3269200</v>
      </c>
      <c r="AH20" s="46" t="s">
        <v>66</v>
      </c>
      <c r="AI20" s="159">
        <f>VLOOKUP($AI$2,'Diretrizes - Resumo'!$A$4:$AF$30,22,)</f>
        <v>18636</v>
      </c>
      <c r="AP20" s="16"/>
    </row>
    <row r="21" spans="1:42" ht="16" thickBot="1" x14ac:dyDescent="0.4">
      <c r="A21" s="120" t="s">
        <v>67</v>
      </c>
      <c r="B21" s="13">
        <v>4350419.7</v>
      </c>
      <c r="C21" s="13">
        <v>711293.33</v>
      </c>
      <c r="D21" s="18">
        <f t="shared" si="3"/>
        <v>5061713.03</v>
      </c>
      <c r="E21" s="13">
        <v>432948.57</v>
      </c>
      <c r="F21" s="13">
        <v>249096.34</v>
      </c>
      <c r="G21" s="18">
        <f t="shared" si="4"/>
        <v>682044.91</v>
      </c>
      <c r="H21" s="13">
        <v>7154912.9500000002</v>
      </c>
      <c r="I21" s="13">
        <v>530619.96</v>
      </c>
      <c r="J21" s="18">
        <f t="shared" si="2"/>
        <v>13429290.850000001</v>
      </c>
      <c r="K21" s="40">
        <v>0</v>
      </c>
      <c r="L21" s="13">
        <v>250374.96</v>
      </c>
      <c r="M21" s="13"/>
      <c r="N21" s="13"/>
      <c r="P21" s="13">
        <v>1044991.1799999999</v>
      </c>
      <c r="Q21" s="13">
        <v>137025.72</v>
      </c>
      <c r="S21" s="13">
        <v>66847.289999999994</v>
      </c>
      <c r="T21" s="13"/>
      <c r="U21" s="156">
        <v>16111</v>
      </c>
      <c r="V21" s="156">
        <v>15523</v>
      </c>
      <c r="W21" s="153">
        <v>0.33458878843786199</v>
      </c>
      <c r="X21" s="156">
        <v>3154</v>
      </c>
      <c r="Y21" s="153">
        <v>0.48826886493341787</v>
      </c>
      <c r="Z21" s="158">
        <v>74661</v>
      </c>
      <c r="AA21" s="13"/>
      <c r="AB21" s="13"/>
      <c r="AC21" s="13"/>
      <c r="AD21" s="13">
        <v>17082768.949999999</v>
      </c>
      <c r="AE21" s="11"/>
      <c r="AF21" s="74">
        <v>11443208</v>
      </c>
      <c r="AH21" s="45" t="s">
        <v>68</v>
      </c>
      <c r="AI21" s="160">
        <f>VLOOKUP($AI$2,'Diretrizes - Resumo'!$A$4:$AF$30,23,)</f>
        <v>0.28882733834207402</v>
      </c>
      <c r="AP21" s="16"/>
    </row>
    <row r="22" spans="1:42" ht="16" thickBot="1" x14ac:dyDescent="0.4">
      <c r="A22" s="120" t="s">
        <v>69</v>
      </c>
      <c r="B22" s="13">
        <v>5082798.55</v>
      </c>
      <c r="C22" s="13">
        <v>1367024.96</v>
      </c>
      <c r="D22" s="18">
        <f t="shared" si="3"/>
        <v>6449823.5099999998</v>
      </c>
      <c r="E22" s="13">
        <v>441741.93</v>
      </c>
      <c r="F22" s="13">
        <v>262558.08000000002</v>
      </c>
      <c r="G22" s="18">
        <f t="shared" si="4"/>
        <v>704300.01</v>
      </c>
      <c r="H22" s="13">
        <v>6638665.9699999997</v>
      </c>
      <c r="I22" s="13">
        <v>592611.56999999995</v>
      </c>
      <c r="J22" s="18">
        <f t="shared" si="2"/>
        <v>14385401.059999999</v>
      </c>
      <c r="K22" s="40">
        <v>0</v>
      </c>
      <c r="L22" s="13">
        <v>267554.26</v>
      </c>
      <c r="M22" s="13"/>
      <c r="N22" s="13"/>
      <c r="P22" s="13">
        <v>1162383.19</v>
      </c>
      <c r="Q22" s="13">
        <v>155869.18000000002</v>
      </c>
      <c r="S22" s="13">
        <v>46436.5</v>
      </c>
      <c r="T22" s="13"/>
      <c r="U22" s="156">
        <v>22693</v>
      </c>
      <c r="V22" s="156">
        <v>18484</v>
      </c>
      <c r="W22" s="153">
        <v>0.30817761969679386</v>
      </c>
      <c r="X22" s="156">
        <v>3208</v>
      </c>
      <c r="Y22" s="153">
        <v>0.486284289276808</v>
      </c>
      <c r="Z22" s="158">
        <v>69274</v>
      </c>
      <c r="AA22" s="13"/>
      <c r="AB22" s="13"/>
      <c r="AC22" s="13"/>
      <c r="AD22" s="13">
        <v>9115215.3300000001</v>
      </c>
      <c r="AE22" s="11"/>
      <c r="AF22" s="74">
        <v>16054524</v>
      </c>
      <c r="AH22" s="22" t="s">
        <v>70</v>
      </c>
      <c r="AI22" s="159">
        <f>VLOOKUP($AI$2,'Diretrizes - Resumo'!$A$4:$AF$30,24,)</f>
        <v>2346</v>
      </c>
      <c r="AP22" s="16"/>
    </row>
    <row r="23" spans="1:42" ht="16" thickBot="1" x14ac:dyDescent="0.4">
      <c r="A23" s="120" t="s">
        <v>71</v>
      </c>
      <c r="B23" s="13">
        <v>779302.01</v>
      </c>
      <c r="C23" s="13">
        <v>282331.06</v>
      </c>
      <c r="D23" s="18">
        <f t="shared" si="3"/>
        <v>1061633.07</v>
      </c>
      <c r="E23" s="13">
        <v>31170.86</v>
      </c>
      <c r="F23" s="13">
        <v>22522.18</v>
      </c>
      <c r="G23" s="18">
        <f t="shared" si="4"/>
        <v>53693.04</v>
      </c>
      <c r="H23" s="13">
        <v>1066897.6599999999</v>
      </c>
      <c r="I23" s="13">
        <v>119182.98</v>
      </c>
      <c r="J23" s="18">
        <f t="shared" si="2"/>
        <v>2301406.75</v>
      </c>
      <c r="K23" s="40">
        <v>0</v>
      </c>
      <c r="L23" s="13">
        <v>42735.12</v>
      </c>
      <c r="M23" s="13"/>
      <c r="N23" s="13"/>
      <c r="P23" s="13">
        <v>178045.84</v>
      </c>
      <c r="Q23" s="13">
        <v>23431.97</v>
      </c>
      <c r="S23" s="13">
        <v>8916.36</v>
      </c>
      <c r="T23" s="13"/>
      <c r="U23" s="156">
        <v>3114</v>
      </c>
      <c r="V23" s="156">
        <v>2998</v>
      </c>
      <c r="W23" s="153">
        <v>0.38129299127037064</v>
      </c>
      <c r="X23" s="156">
        <v>365</v>
      </c>
      <c r="Y23" s="153">
        <v>0.68219178082191778</v>
      </c>
      <c r="Z23" s="158">
        <v>11133</v>
      </c>
      <c r="AA23" s="13"/>
      <c r="AB23" s="13"/>
      <c r="AC23" s="13"/>
      <c r="AD23" s="13">
        <v>1271164.96</v>
      </c>
      <c r="AE23" s="11"/>
      <c r="AF23" s="74">
        <v>3302406</v>
      </c>
      <c r="AH23" s="22" t="s">
        <v>72</v>
      </c>
      <c r="AI23" s="160">
        <f>VLOOKUP($AI$2,'Diretrizes - Resumo'!$A$4:$AF$30,25,)</f>
        <v>0.45353793691389599</v>
      </c>
      <c r="AP23" s="16"/>
    </row>
    <row r="24" spans="1:42" ht="16" thickBot="1" x14ac:dyDescent="0.4">
      <c r="A24" s="120" t="s">
        <v>73</v>
      </c>
      <c r="B24" s="13">
        <v>451878.01</v>
      </c>
      <c r="C24" s="13">
        <v>80860.789999999994</v>
      </c>
      <c r="D24" s="18">
        <f t="shared" si="3"/>
        <v>532738.80000000005</v>
      </c>
      <c r="E24" s="13">
        <v>36095.82</v>
      </c>
      <c r="F24" s="13">
        <v>32045.8</v>
      </c>
      <c r="G24" s="18">
        <f t="shared" si="4"/>
        <v>68141.62</v>
      </c>
      <c r="H24" s="13">
        <v>837380.02</v>
      </c>
      <c r="I24" s="13">
        <v>61989.62</v>
      </c>
      <c r="J24" s="18">
        <f t="shared" si="2"/>
        <v>1500250.06</v>
      </c>
      <c r="K24" s="40">
        <v>0</v>
      </c>
      <c r="L24" s="13">
        <v>27901.53</v>
      </c>
      <c r="M24" s="13">
        <v>22526.799999999999</v>
      </c>
      <c r="N24" s="13">
        <v>182690.48816000018</v>
      </c>
      <c r="P24" s="13">
        <v>116521.01999999999</v>
      </c>
      <c r="Q24" s="13">
        <v>15065.060000000001</v>
      </c>
      <c r="S24" s="13">
        <v>6968.89</v>
      </c>
      <c r="T24" s="13"/>
      <c r="U24" s="156">
        <v>1700</v>
      </c>
      <c r="V24" s="156">
        <v>1673</v>
      </c>
      <c r="W24" s="153">
        <v>0.34870198687423609</v>
      </c>
      <c r="X24" s="156">
        <v>290</v>
      </c>
      <c r="Y24" s="153">
        <v>0.54137931034482767</v>
      </c>
      <c r="Z24" s="158">
        <v>8738</v>
      </c>
      <c r="AA24" s="13"/>
      <c r="AB24" s="13"/>
      <c r="AC24" s="13"/>
      <c r="AD24" s="13">
        <v>1687241.8900000001</v>
      </c>
      <c r="AE24" s="11"/>
      <c r="AF24" s="74">
        <v>1581016</v>
      </c>
      <c r="AH24" s="45" t="s">
        <v>74</v>
      </c>
      <c r="AI24" s="159">
        <f>VLOOKUP($AI$2,'Diretrizes - Resumo'!$A$4:$AF$30,26,)</f>
        <v>63896</v>
      </c>
      <c r="AP24" s="16"/>
    </row>
    <row r="25" spans="1:42" ht="16" thickBot="1" x14ac:dyDescent="0.4">
      <c r="A25" s="120" t="s">
        <v>75</v>
      </c>
      <c r="B25" s="13">
        <v>68580.100000000006</v>
      </c>
      <c r="C25" s="13">
        <v>22128.78</v>
      </c>
      <c r="D25" s="18">
        <f t="shared" si="3"/>
        <v>90708.88</v>
      </c>
      <c r="E25" s="13">
        <v>5841.74</v>
      </c>
      <c r="F25" s="13">
        <v>7041.5</v>
      </c>
      <c r="G25" s="18">
        <f t="shared" si="4"/>
        <v>12883.24</v>
      </c>
      <c r="H25" s="13">
        <v>169047.65</v>
      </c>
      <c r="I25" s="13">
        <v>7310.99</v>
      </c>
      <c r="J25" s="18">
        <f t="shared" si="2"/>
        <v>279950.76</v>
      </c>
      <c r="K25" s="40">
        <v>0</v>
      </c>
      <c r="L25" s="13">
        <v>5205.0200000000004</v>
      </c>
      <c r="M25" s="13">
        <v>25182.12</v>
      </c>
      <c r="N25" s="13">
        <v>1253743.9547999999</v>
      </c>
      <c r="P25" s="13">
        <v>21811.86</v>
      </c>
      <c r="Q25" s="13">
        <v>2786.81</v>
      </c>
      <c r="S25" s="13">
        <v>878.64</v>
      </c>
      <c r="T25" s="13"/>
      <c r="U25" s="156">
        <v>290</v>
      </c>
      <c r="V25" s="156">
        <v>276</v>
      </c>
      <c r="W25" s="153">
        <v>0.40562997053929872</v>
      </c>
      <c r="X25" s="156">
        <v>78</v>
      </c>
      <c r="Y25" s="153">
        <v>0.71794871794871795</v>
      </c>
      <c r="Z25" s="158">
        <v>1764</v>
      </c>
      <c r="AA25" s="13"/>
      <c r="AB25" s="13"/>
      <c r="AC25" s="13"/>
      <c r="AD25" s="13">
        <v>109681.65</v>
      </c>
      <c r="AE25" s="11"/>
      <c r="AF25" s="74">
        <v>636303</v>
      </c>
      <c r="AP25" s="16"/>
    </row>
    <row r="26" spans="1:42" ht="16" thickBot="1" x14ac:dyDescent="0.4">
      <c r="A26" s="120" t="s">
        <v>76</v>
      </c>
      <c r="B26" s="13">
        <v>5928421.5199999996</v>
      </c>
      <c r="C26" s="13">
        <v>981566.23</v>
      </c>
      <c r="D26" s="18">
        <f t="shared" si="3"/>
        <v>6909987.75</v>
      </c>
      <c r="E26" s="13">
        <v>570489.46</v>
      </c>
      <c r="F26" s="13">
        <v>333105.11</v>
      </c>
      <c r="G26" s="18">
        <f t="shared" si="4"/>
        <v>903594.57</v>
      </c>
      <c r="H26" s="13">
        <v>9602558.0600000005</v>
      </c>
      <c r="I26" s="13">
        <v>739420.1</v>
      </c>
      <c r="J26" s="18">
        <f t="shared" si="2"/>
        <v>18155560.48</v>
      </c>
      <c r="K26" s="40">
        <v>0</v>
      </c>
      <c r="L26" s="13">
        <v>337639.05</v>
      </c>
      <c r="M26" s="13"/>
      <c r="N26" s="13"/>
      <c r="P26" s="13">
        <v>1377575.74</v>
      </c>
      <c r="Q26" s="13">
        <v>180121.68</v>
      </c>
      <c r="S26" s="13">
        <v>79259.320000000007</v>
      </c>
      <c r="T26" s="13"/>
      <c r="U26" s="156">
        <v>19788</v>
      </c>
      <c r="V26" s="156">
        <v>18234</v>
      </c>
      <c r="W26" s="153">
        <v>0.22784844673069632</v>
      </c>
      <c r="X26" s="156">
        <v>3842</v>
      </c>
      <c r="Y26" s="153">
        <v>0.44612181155648101</v>
      </c>
      <c r="Z26" s="158">
        <v>100202</v>
      </c>
      <c r="AA26" s="13"/>
      <c r="AB26" s="13"/>
      <c r="AC26" s="13"/>
      <c r="AD26" s="13">
        <v>19333585.09</v>
      </c>
      <c r="AE26" s="11"/>
      <c r="AF26" s="74">
        <v>10880506</v>
      </c>
      <c r="AH26" s="253" t="s">
        <v>77</v>
      </c>
      <c r="AI26" s="253"/>
      <c r="AP26" s="16"/>
    </row>
    <row r="27" spans="1:42" ht="16" thickBot="1" x14ac:dyDescent="0.4">
      <c r="A27" s="120" t="s">
        <v>78</v>
      </c>
      <c r="B27" s="13">
        <v>4116835.69</v>
      </c>
      <c r="C27" s="13">
        <v>629883.53</v>
      </c>
      <c r="D27" s="18">
        <f t="shared" si="3"/>
        <v>4746719.22</v>
      </c>
      <c r="E27" s="13">
        <v>365290.58</v>
      </c>
      <c r="F27" s="13">
        <v>126884.29</v>
      </c>
      <c r="G27" s="18">
        <f t="shared" si="4"/>
        <v>492174.87</v>
      </c>
      <c r="H27" s="13">
        <v>6136793.7800000003</v>
      </c>
      <c r="I27" s="13">
        <v>634444.93999999994</v>
      </c>
      <c r="J27" s="18">
        <f t="shared" si="2"/>
        <v>12010132.810000001</v>
      </c>
      <c r="K27" s="40">
        <v>0</v>
      </c>
      <c r="L27" s="13">
        <v>223350.59</v>
      </c>
      <c r="M27" s="13"/>
      <c r="N27" s="13"/>
      <c r="P27" s="13">
        <v>904885.87</v>
      </c>
      <c r="Q27" s="13">
        <v>117069.36999999998</v>
      </c>
      <c r="S27" s="13">
        <v>49197.66</v>
      </c>
      <c r="T27" s="13"/>
      <c r="U27" s="156">
        <v>13212</v>
      </c>
      <c r="V27" s="156">
        <v>12784</v>
      </c>
      <c r="W27" s="153">
        <v>0.25281910684984404</v>
      </c>
      <c r="X27" s="156">
        <v>2403</v>
      </c>
      <c r="Y27" s="153">
        <v>0.43237619642114017</v>
      </c>
      <c r="Z27" s="158">
        <v>64037</v>
      </c>
      <c r="AA27" s="13"/>
      <c r="AB27" s="13"/>
      <c r="AC27" s="13"/>
      <c r="AD27" s="13">
        <v>6303116.2000000002</v>
      </c>
      <c r="AE27" s="11"/>
      <c r="AF27" s="74">
        <v>7609601</v>
      </c>
      <c r="AH27" s="28" t="s">
        <v>79</v>
      </c>
      <c r="AI27" s="21">
        <f>VLOOKUP($AI$2,'Diretrizes - Resumo'!$A$4:$AF$30,32,)</f>
        <v>20538718</v>
      </c>
      <c r="AP27" s="16"/>
    </row>
    <row r="28" spans="1:42" s="19" customFormat="1" ht="16" hidden="1" thickBot="1" x14ac:dyDescent="0.4">
      <c r="A28" s="120" t="s">
        <v>80</v>
      </c>
      <c r="B28" s="13">
        <v>518026.26</v>
      </c>
      <c r="C28" s="13">
        <v>94311.26</v>
      </c>
      <c r="D28" s="18">
        <f t="shared" si="3"/>
        <v>612337.52</v>
      </c>
      <c r="E28" s="13">
        <v>28185.71</v>
      </c>
      <c r="F28" s="13">
        <v>17902.48</v>
      </c>
      <c r="G28" s="18">
        <f t="shared" si="4"/>
        <v>46088.19</v>
      </c>
      <c r="H28" s="13">
        <v>863925.48</v>
      </c>
      <c r="I28" s="13">
        <v>73480.36</v>
      </c>
      <c r="J28" s="18">
        <f t="shared" si="2"/>
        <v>1595831.55</v>
      </c>
      <c r="K28" s="40">
        <v>0</v>
      </c>
      <c r="L28" s="13">
        <v>29678.54</v>
      </c>
      <c r="M28" s="13">
        <v>17004.36</v>
      </c>
      <c r="N28" s="13">
        <v>157366.68</v>
      </c>
      <c r="O28" s="11"/>
      <c r="P28" s="13">
        <v>124264.91</v>
      </c>
      <c r="Q28" s="13">
        <v>16097.41</v>
      </c>
      <c r="R28" s="10"/>
      <c r="S28" s="13">
        <v>5260.2</v>
      </c>
      <c r="T28" s="13"/>
      <c r="U28" s="156">
        <v>1896</v>
      </c>
      <c r="V28" s="156">
        <v>1852</v>
      </c>
      <c r="W28" s="153">
        <v>0.33369906872931582</v>
      </c>
      <c r="X28" s="156">
        <v>213</v>
      </c>
      <c r="Y28" s="153">
        <v>0.49765258215962438</v>
      </c>
      <c r="Z28" s="158">
        <v>9015</v>
      </c>
      <c r="AA28" s="13"/>
      <c r="AB28" s="13"/>
      <c r="AC28" s="13"/>
      <c r="AD28" s="13">
        <v>728228.2699999999</v>
      </c>
      <c r="AE28" s="11"/>
      <c r="AF28" s="74">
        <v>2209558</v>
      </c>
      <c r="AK28" s="3"/>
      <c r="AP28" s="16"/>
    </row>
    <row r="29" spans="1:42" ht="16" hidden="1" thickBot="1" x14ac:dyDescent="0.4">
      <c r="A29" s="120" t="s">
        <v>81</v>
      </c>
      <c r="B29" s="13">
        <v>19849318.800000001</v>
      </c>
      <c r="C29" s="13">
        <v>4990128.62</v>
      </c>
      <c r="D29" s="18">
        <f t="shared" si="3"/>
        <v>24839447.420000002</v>
      </c>
      <c r="E29" s="13">
        <v>1555999.77</v>
      </c>
      <c r="F29" s="13">
        <v>735252.59</v>
      </c>
      <c r="G29" s="18">
        <f t="shared" si="4"/>
        <v>2291252.36</v>
      </c>
      <c r="H29" s="13">
        <v>32553076.25</v>
      </c>
      <c r="I29" s="13">
        <v>3098579.16</v>
      </c>
      <c r="J29" s="18">
        <f t="shared" si="2"/>
        <v>62782355.189999998</v>
      </c>
      <c r="K29" s="40">
        <v>0</v>
      </c>
      <c r="L29" s="13">
        <v>1145892.08</v>
      </c>
      <c r="M29" s="13"/>
      <c r="N29" s="13"/>
      <c r="P29" s="13">
        <v>4788916.2</v>
      </c>
      <c r="Q29" s="13">
        <v>662189.32000000007</v>
      </c>
      <c r="S29" s="13">
        <v>232126.44</v>
      </c>
      <c r="T29" s="13"/>
      <c r="U29" s="156">
        <v>74625</v>
      </c>
      <c r="V29" s="156">
        <v>69155</v>
      </c>
      <c r="W29" s="153">
        <v>0.3290763239620329</v>
      </c>
      <c r="X29" s="156">
        <v>8958</v>
      </c>
      <c r="Y29" s="153">
        <v>0.35175262335342711</v>
      </c>
      <c r="Z29" s="158">
        <v>339689</v>
      </c>
      <c r="AA29" s="13"/>
      <c r="AB29" s="13"/>
      <c r="AC29" s="13"/>
      <c r="AD29" s="13">
        <v>66232389.320000008</v>
      </c>
      <c r="AE29" s="11"/>
      <c r="AF29" s="74">
        <v>44420459</v>
      </c>
      <c r="AP29" s="16"/>
    </row>
    <row r="30" spans="1:42" ht="16" hidden="1" thickBot="1" x14ac:dyDescent="0.4">
      <c r="A30" s="120" t="s">
        <v>82</v>
      </c>
      <c r="B30" s="13">
        <v>279608.81</v>
      </c>
      <c r="C30" s="13">
        <v>70435.94</v>
      </c>
      <c r="D30" s="18">
        <f t="shared" si="3"/>
        <v>350044.75</v>
      </c>
      <c r="E30" s="13">
        <v>25329.119999999999</v>
      </c>
      <c r="F30" s="13">
        <v>22126.35</v>
      </c>
      <c r="G30" s="18">
        <f t="shared" si="4"/>
        <v>47455.47</v>
      </c>
      <c r="H30" s="13">
        <v>485964.07</v>
      </c>
      <c r="I30" s="13">
        <v>36835.03</v>
      </c>
      <c r="J30" s="18">
        <f t="shared" si="2"/>
        <v>920299.32</v>
      </c>
      <c r="K30" s="40">
        <v>0</v>
      </c>
      <c r="L30" s="13">
        <v>17110.72</v>
      </c>
      <c r="M30" s="13">
        <v>15054.36</v>
      </c>
      <c r="N30" s="13">
        <v>670481.59815999994</v>
      </c>
      <c r="P30" s="13">
        <v>71052.679999999993</v>
      </c>
      <c r="Q30" s="13">
        <v>9322.7899999999991</v>
      </c>
      <c r="S30" s="13">
        <v>3994.16</v>
      </c>
      <c r="T30" s="13"/>
      <c r="U30" s="156">
        <v>1085</v>
      </c>
      <c r="V30" s="156">
        <v>1060</v>
      </c>
      <c r="W30" s="153">
        <v>0.35868213794886938</v>
      </c>
      <c r="X30" s="156">
        <v>275</v>
      </c>
      <c r="Y30" s="153">
        <v>0.65818181818181809</v>
      </c>
      <c r="Z30" s="158">
        <v>5071</v>
      </c>
      <c r="AA30" s="13"/>
      <c r="AB30" s="13"/>
      <c r="AC30" s="13"/>
      <c r="AD30" s="13">
        <v>1161913.3600000001</v>
      </c>
      <c r="AE30" s="11"/>
      <c r="AF30" s="74">
        <v>1511459</v>
      </c>
      <c r="AP30" s="16"/>
    </row>
    <row r="31" spans="1:42" hidden="1" x14ac:dyDescent="0.35">
      <c r="P31" s="15"/>
      <c r="Q31" s="15"/>
    </row>
    <row r="32" spans="1:42" hidden="1" x14ac:dyDescent="0.35">
      <c r="A32" s="14" t="s">
        <v>83</v>
      </c>
      <c r="B32" s="17">
        <v>2</v>
      </c>
      <c r="C32" s="17">
        <f>B32+1</f>
        <v>3</v>
      </c>
      <c r="D32" s="17">
        <f t="shared" ref="D32:Q32" si="5">C32+1</f>
        <v>4</v>
      </c>
      <c r="E32" s="17">
        <f t="shared" si="5"/>
        <v>5</v>
      </c>
      <c r="F32" s="17">
        <f t="shared" si="5"/>
        <v>6</v>
      </c>
      <c r="G32" s="17">
        <f t="shared" si="5"/>
        <v>7</v>
      </c>
      <c r="H32" s="17">
        <f t="shared" si="5"/>
        <v>8</v>
      </c>
      <c r="I32" s="17">
        <f t="shared" si="5"/>
        <v>9</v>
      </c>
      <c r="J32" s="17">
        <f t="shared" si="5"/>
        <v>10</v>
      </c>
      <c r="K32" s="17">
        <f t="shared" si="5"/>
        <v>11</v>
      </c>
      <c r="L32" s="17">
        <f t="shared" si="5"/>
        <v>12</v>
      </c>
      <c r="M32" s="17">
        <f t="shared" si="5"/>
        <v>13</v>
      </c>
      <c r="N32" s="17">
        <f t="shared" si="5"/>
        <v>14</v>
      </c>
      <c r="O32" s="17">
        <f t="shared" si="5"/>
        <v>15</v>
      </c>
      <c r="P32" s="17">
        <f t="shared" si="5"/>
        <v>16</v>
      </c>
      <c r="Q32" s="17">
        <f t="shared" si="5"/>
        <v>17</v>
      </c>
      <c r="R32" s="17">
        <f t="shared" ref="R32" si="6">Q32+1</f>
        <v>18</v>
      </c>
      <c r="S32" s="17">
        <f t="shared" ref="S32" si="7">R32+1</f>
        <v>19</v>
      </c>
      <c r="T32" s="17">
        <f t="shared" ref="T32" si="8">S32+1</f>
        <v>20</v>
      </c>
      <c r="U32" s="17">
        <f t="shared" ref="U32" si="9">T32+1</f>
        <v>21</v>
      </c>
      <c r="V32" s="17">
        <f t="shared" ref="V32" si="10">U32+1</f>
        <v>22</v>
      </c>
      <c r="W32" s="17">
        <f t="shared" ref="W32" si="11">V32+1</f>
        <v>23</v>
      </c>
      <c r="X32" s="17">
        <f t="shared" ref="X32" si="12">W32+1</f>
        <v>24</v>
      </c>
      <c r="Y32" s="17">
        <f t="shared" ref="Y32" si="13">X32+1</f>
        <v>25</v>
      </c>
      <c r="Z32" s="17">
        <f t="shared" ref="Z32" si="14">Y32+1</f>
        <v>26</v>
      </c>
      <c r="AA32" s="17">
        <f t="shared" ref="AA32" si="15">Z32+1</f>
        <v>27</v>
      </c>
      <c r="AB32" s="17">
        <f t="shared" ref="AB32" si="16">AA32+1</f>
        <v>28</v>
      </c>
      <c r="AC32" s="17">
        <f t="shared" ref="AC32" si="17">AB32+1</f>
        <v>29</v>
      </c>
      <c r="AD32" s="17">
        <f>AC32+1</f>
        <v>30</v>
      </c>
      <c r="AE32" s="17">
        <f t="shared" ref="AE32" si="18">AD32+1</f>
        <v>31</v>
      </c>
      <c r="AF32" s="17">
        <f t="shared" ref="AF32" si="19">AE32+1</f>
        <v>32</v>
      </c>
    </row>
    <row r="33" spans="16:17" hidden="1" x14ac:dyDescent="0.35">
      <c r="P33" s="47"/>
      <c r="Q33" s="47"/>
    </row>
    <row r="34" spans="16:17" hidden="1" x14ac:dyDescent="0.35">
      <c r="P34" s="47"/>
      <c r="Q34" s="47"/>
    </row>
    <row r="35" spans="16:17" hidden="1" x14ac:dyDescent="0.35">
      <c r="P35" s="47"/>
      <c r="Q35" s="47"/>
    </row>
    <row r="36" spans="16:17" hidden="1" x14ac:dyDescent="0.35">
      <c r="P36" s="47"/>
      <c r="Q36" s="47"/>
    </row>
  </sheetData>
  <mergeCells count="19">
    <mergeCell ref="AK2:AL2"/>
    <mergeCell ref="AH18:AI18"/>
    <mergeCell ref="A1:A3"/>
    <mergeCell ref="B1:J1"/>
    <mergeCell ref="E2:G2"/>
    <mergeCell ref="B2:D2"/>
    <mergeCell ref="I2:I3"/>
    <mergeCell ref="AF2:AF3"/>
    <mergeCell ref="AH26:AI26"/>
    <mergeCell ref="H2:H3"/>
    <mergeCell ref="J2:J3"/>
    <mergeCell ref="L1:N2"/>
    <mergeCell ref="P1:Q2"/>
    <mergeCell ref="U1:Z1"/>
    <mergeCell ref="U2:W2"/>
    <mergeCell ref="X2:Y2"/>
    <mergeCell ref="S1:S2"/>
    <mergeCell ref="AB2:AB3"/>
    <mergeCell ref="AD2:A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'Validação de dados'!$G$1:$G$27</xm:f>
          </x14:formula1>
          <xm:sqref>AI2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W34"/>
  <sheetViews>
    <sheetView zoomScaleNormal="100" workbookViewId="0">
      <selection activeCell="D1" sqref="D1:D13"/>
    </sheetView>
  </sheetViews>
  <sheetFormatPr defaultRowHeight="15.5" x14ac:dyDescent="0.35"/>
  <cols>
    <col min="1" max="1" width="48.7265625" style="3" bestFit="1" customWidth="1"/>
    <col min="2" max="2" width="42.54296875" style="3" bestFit="1" customWidth="1"/>
    <col min="3" max="3" width="46.26953125" style="3" bestFit="1" customWidth="1"/>
    <col min="4" max="4" width="127.81640625" style="3" customWidth="1"/>
    <col min="5" max="8" width="9.1796875" style="3"/>
    <col min="9" max="9" width="13.54296875" style="3" bestFit="1" customWidth="1"/>
    <col min="10" max="49" width="9.1796875" style="3"/>
  </cols>
  <sheetData>
    <row r="1" spans="1:7" x14ac:dyDescent="0.35">
      <c r="A1" s="3" t="s">
        <v>298</v>
      </c>
      <c r="B1" s="5" t="s">
        <v>293</v>
      </c>
      <c r="C1" s="5" t="s">
        <v>299</v>
      </c>
      <c r="D1" s="3" t="s">
        <v>99</v>
      </c>
      <c r="E1" s="3" t="s">
        <v>300</v>
      </c>
      <c r="G1" s="3" t="s">
        <v>31</v>
      </c>
    </row>
    <row r="2" spans="1:7" x14ac:dyDescent="0.35">
      <c r="A2" s="3" t="s">
        <v>301</v>
      </c>
      <c r="B2" s="5" t="s">
        <v>294</v>
      </c>
      <c r="C2" s="5" t="s">
        <v>302</v>
      </c>
      <c r="D2" s="3" t="s">
        <v>102</v>
      </c>
      <c r="E2" s="3" t="s">
        <v>303</v>
      </c>
      <c r="G2" s="3" t="s">
        <v>34</v>
      </c>
    </row>
    <row r="3" spans="1:7" x14ac:dyDescent="0.35">
      <c r="A3" s="3" t="s">
        <v>304</v>
      </c>
      <c r="B3" s="4" t="s">
        <v>285</v>
      </c>
      <c r="C3" s="5" t="s">
        <v>305</v>
      </c>
      <c r="D3" s="3" t="s">
        <v>109</v>
      </c>
      <c r="E3" s="3" t="s">
        <v>63</v>
      </c>
      <c r="G3" s="3" t="s">
        <v>37</v>
      </c>
    </row>
    <row r="4" spans="1:7" x14ac:dyDescent="0.35">
      <c r="A4" s="3" t="s">
        <v>306</v>
      </c>
      <c r="B4" s="6" t="s">
        <v>307</v>
      </c>
      <c r="C4" s="5" t="s">
        <v>308</v>
      </c>
      <c r="D4" s="3" t="s">
        <v>112</v>
      </c>
      <c r="E4" s="3" t="s">
        <v>309</v>
      </c>
      <c r="G4" s="3" t="s">
        <v>40</v>
      </c>
    </row>
    <row r="5" spans="1:7" x14ac:dyDescent="0.35">
      <c r="A5" s="3" t="s">
        <v>310</v>
      </c>
      <c r="B5" s="6" t="s">
        <v>311</v>
      </c>
      <c r="C5" s="5" t="s">
        <v>312</v>
      </c>
      <c r="D5" s="3" t="s">
        <v>111</v>
      </c>
      <c r="E5" s="3" t="s">
        <v>313</v>
      </c>
      <c r="G5" s="3" t="s">
        <v>42</v>
      </c>
    </row>
    <row r="6" spans="1:7" x14ac:dyDescent="0.35">
      <c r="A6" s="3" t="s">
        <v>314</v>
      </c>
      <c r="B6" s="6" t="s">
        <v>315</v>
      </c>
      <c r="C6" s="5" t="s">
        <v>316</v>
      </c>
      <c r="D6" s="3" t="s">
        <v>105</v>
      </c>
      <c r="E6" s="3" t="s">
        <v>317</v>
      </c>
      <c r="G6" s="3" t="s">
        <v>45</v>
      </c>
    </row>
    <row r="7" spans="1:7" x14ac:dyDescent="0.35">
      <c r="A7" s="3" t="s">
        <v>318</v>
      </c>
      <c r="B7" s="6" t="s">
        <v>319</v>
      </c>
      <c r="C7" s="5" t="s">
        <v>320</v>
      </c>
      <c r="D7" s="3" t="s">
        <v>97</v>
      </c>
      <c r="G7" s="3" t="s">
        <v>47</v>
      </c>
    </row>
    <row r="8" spans="1:7" x14ac:dyDescent="0.35">
      <c r="A8" s="3" t="s">
        <v>321</v>
      </c>
      <c r="B8" s="6" t="s">
        <v>287</v>
      </c>
      <c r="C8" s="5" t="s">
        <v>322</v>
      </c>
      <c r="D8" s="3" t="s">
        <v>108</v>
      </c>
      <c r="G8" s="3" t="s">
        <v>49</v>
      </c>
    </row>
    <row r="9" spans="1:7" x14ac:dyDescent="0.35">
      <c r="A9" s="3" t="s">
        <v>323</v>
      </c>
      <c r="B9" s="6" t="s">
        <v>324</v>
      </c>
      <c r="C9" s="5" t="s">
        <v>325</v>
      </c>
      <c r="D9" s="3" t="s">
        <v>104</v>
      </c>
      <c r="G9" s="3" t="s">
        <v>51</v>
      </c>
    </row>
    <row r="10" spans="1:7" x14ac:dyDescent="0.35">
      <c r="A10" s="3" t="s">
        <v>326</v>
      </c>
      <c r="B10" s="5" t="s">
        <v>289</v>
      </c>
      <c r="C10" s="5" t="s">
        <v>327</v>
      </c>
      <c r="D10" s="3" t="s">
        <v>96</v>
      </c>
      <c r="G10" s="3" t="s">
        <v>53</v>
      </c>
    </row>
    <row r="11" spans="1:7" x14ac:dyDescent="0.35">
      <c r="A11" s="3" t="s">
        <v>328</v>
      </c>
      <c r="B11" s="5" t="s">
        <v>291</v>
      </c>
      <c r="C11" s="5" t="s">
        <v>329</v>
      </c>
      <c r="D11" s="3" t="s">
        <v>103</v>
      </c>
      <c r="G11" s="3" t="s">
        <v>14</v>
      </c>
    </row>
    <row r="12" spans="1:7" x14ac:dyDescent="0.35">
      <c r="A12" s="3" t="s">
        <v>330</v>
      </c>
      <c r="C12" s="5" t="s">
        <v>331</v>
      </c>
      <c r="D12" s="3" t="s">
        <v>107</v>
      </c>
      <c r="G12" s="3" t="s">
        <v>56</v>
      </c>
    </row>
    <row r="13" spans="1:7" x14ac:dyDescent="0.35">
      <c r="A13" s="3" t="s">
        <v>332</v>
      </c>
      <c r="B13" s="4"/>
      <c r="C13" s="5" t="s">
        <v>333</v>
      </c>
      <c r="D13" s="3" t="s">
        <v>98</v>
      </c>
      <c r="G13" s="3" t="s">
        <v>58</v>
      </c>
    </row>
    <row r="14" spans="1:7" x14ac:dyDescent="0.35">
      <c r="A14" s="3" t="s">
        <v>334</v>
      </c>
      <c r="B14" s="4"/>
      <c r="C14" s="5" t="s">
        <v>335</v>
      </c>
      <c r="G14" s="3" t="s">
        <v>60</v>
      </c>
    </row>
    <row r="15" spans="1:7" x14ac:dyDescent="0.35">
      <c r="A15" s="3" t="s">
        <v>336</v>
      </c>
      <c r="B15" s="4"/>
      <c r="C15" s="5" t="s">
        <v>337</v>
      </c>
      <c r="G15" s="3" t="s">
        <v>61</v>
      </c>
    </row>
    <row r="16" spans="1:7" x14ac:dyDescent="0.35">
      <c r="A16" s="3" t="s">
        <v>338</v>
      </c>
      <c r="B16" s="4"/>
      <c r="C16" s="5" t="s">
        <v>339</v>
      </c>
      <c r="G16" s="3" t="s">
        <v>63</v>
      </c>
    </row>
    <row r="17" spans="1:7" x14ac:dyDescent="0.35">
      <c r="A17" s="3" t="s">
        <v>340</v>
      </c>
      <c r="B17" s="4"/>
      <c r="C17" s="5" t="s">
        <v>341</v>
      </c>
      <c r="G17" s="3" t="s">
        <v>65</v>
      </c>
    </row>
    <row r="18" spans="1:7" x14ac:dyDescent="0.35">
      <c r="B18" s="4"/>
      <c r="C18" s="5" t="s">
        <v>342</v>
      </c>
      <c r="D18" s="3" t="s">
        <v>99</v>
      </c>
      <c r="G18" s="3" t="s">
        <v>67</v>
      </c>
    </row>
    <row r="19" spans="1:7" x14ac:dyDescent="0.35">
      <c r="C19" s="5" t="s">
        <v>343</v>
      </c>
      <c r="D19" s="3" t="s">
        <v>102</v>
      </c>
      <c r="G19" s="3" t="s">
        <v>69</v>
      </c>
    </row>
    <row r="20" spans="1:7" x14ac:dyDescent="0.35">
      <c r="C20" s="5" t="s">
        <v>344</v>
      </c>
      <c r="D20" s="3" t="s">
        <v>106</v>
      </c>
      <c r="G20" s="3" t="s">
        <v>71</v>
      </c>
    </row>
    <row r="21" spans="1:7" x14ac:dyDescent="0.35">
      <c r="C21" s="5" t="s">
        <v>345</v>
      </c>
      <c r="D21" s="3" t="s">
        <v>109</v>
      </c>
      <c r="G21" s="3" t="s">
        <v>73</v>
      </c>
    </row>
    <row r="22" spans="1:7" x14ac:dyDescent="0.35">
      <c r="D22" s="3" t="s">
        <v>112</v>
      </c>
      <c r="G22" s="3" t="s">
        <v>75</v>
      </c>
    </row>
    <row r="23" spans="1:7" x14ac:dyDescent="0.35">
      <c r="D23" s="3" t="s">
        <v>111</v>
      </c>
      <c r="G23" s="3" t="s">
        <v>76</v>
      </c>
    </row>
    <row r="24" spans="1:7" x14ac:dyDescent="0.35">
      <c r="D24" s="3" t="s">
        <v>105</v>
      </c>
      <c r="G24" s="3" t="s">
        <v>78</v>
      </c>
    </row>
    <row r="25" spans="1:7" x14ac:dyDescent="0.35">
      <c r="D25" s="3" t="s">
        <v>97</v>
      </c>
      <c r="G25" s="3" t="s">
        <v>80</v>
      </c>
    </row>
    <row r="26" spans="1:7" x14ac:dyDescent="0.35">
      <c r="D26" s="3" t="s">
        <v>108</v>
      </c>
      <c r="G26" s="3" t="s">
        <v>81</v>
      </c>
    </row>
    <row r="27" spans="1:7" x14ac:dyDescent="0.35">
      <c r="D27" s="3" t="s">
        <v>104</v>
      </c>
      <c r="G27" s="3" t="s">
        <v>82</v>
      </c>
    </row>
    <row r="28" spans="1:7" x14ac:dyDescent="0.35">
      <c r="D28" s="3" t="s">
        <v>96</v>
      </c>
      <c r="G28" s="3" t="s">
        <v>346</v>
      </c>
    </row>
    <row r="29" spans="1:7" x14ac:dyDescent="0.35">
      <c r="D29" s="3" t="s">
        <v>103</v>
      </c>
    </row>
    <row r="30" spans="1:7" x14ac:dyDescent="0.35">
      <c r="D30" s="3" t="s">
        <v>107</v>
      </c>
    </row>
    <row r="31" spans="1:7" x14ac:dyDescent="0.35">
      <c r="D31" s="3" t="s">
        <v>113</v>
      </c>
    </row>
    <row r="32" spans="1:7" x14ac:dyDescent="0.35">
      <c r="D32" s="3" t="s">
        <v>101</v>
      </c>
    </row>
    <row r="33" spans="1:4" x14ac:dyDescent="0.35">
      <c r="D33" s="3" t="s">
        <v>98</v>
      </c>
    </row>
    <row r="34" spans="1:4" x14ac:dyDescent="0.35">
      <c r="A34" s="3" t="s">
        <v>347</v>
      </c>
    </row>
  </sheetData>
  <sortState xmlns:xlrd2="http://schemas.microsoft.com/office/spreadsheetml/2017/richdata2" ref="D18:D33">
    <sortCondition ref="D18:D33"/>
  </sortState>
  <pageMargins left="0.511811024" right="0.511811024" top="0.78740157499999996" bottom="0.78740157499999996" header="0.31496062000000002" footer="0.31496062000000002"/>
  <pageSetup paperSize="2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O26"/>
  <sheetViews>
    <sheetView showGridLines="0" topLeftCell="B1" zoomScale="80" zoomScaleNormal="80" workbookViewId="0">
      <selection activeCell="J6" sqref="J6"/>
    </sheetView>
  </sheetViews>
  <sheetFormatPr defaultColWidth="0" defaultRowHeight="22.5" zeroHeight="1" x14ac:dyDescent="0.35"/>
  <cols>
    <col min="1" max="1" width="16.54296875" style="164" customWidth="1"/>
    <col min="2" max="2" width="70.453125" style="165" customWidth="1"/>
    <col min="3" max="3" width="8.453125" style="166" bestFit="1" customWidth="1"/>
    <col min="4" max="4" width="17.7265625" style="167" customWidth="1"/>
    <col min="5" max="5" width="8.1796875" style="166" bestFit="1" customWidth="1"/>
    <col min="6" max="6" width="17.7265625" style="167" customWidth="1"/>
    <col min="7" max="7" width="8.453125" style="166" bestFit="1" customWidth="1"/>
    <col min="8" max="8" width="17.7265625" style="167" customWidth="1"/>
    <col min="9" max="9" width="8.453125" style="166" bestFit="1" customWidth="1"/>
    <col min="10" max="10" width="17.7265625" style="167" customWidth="1"/>
    <col min="11" max="11" width="11.26953125" style="165" customWidth="1"/>
    <col min="12" max="12" width="8.54296875" style="163" customWidth="1"/>
    <col min="13" max="13" width="130.7265625" style="42" bestFit="1" customWidth="1"/>
    <col min="14" max="249" width="0" style="163" hidden="1" customWidth="1"/>
    <col min="250" max="16384" width="22.54296875" style="163" hidden="1"/>
  </cols>
  <sheetData>
    <row r="1" spans="1:13" x14ac:dyDescent="0.35">
      <c r="A1" s="273" t="s">
        <v>84</v>
      </c>
      <c r="B1" s="273" t="s">
        <v>85</v>
      </c>
      <c r="C1" s="272" t="s">
        <v>86</v>
      </c>
      <c r="D1" s="272"/>
      <c r="E1" s="272" t="s">
        <v>87</v>
      </c>
      <c r="F1" s="272"/>
      <c r="G1" s="272" t="s">
        <v>88</v>
      </c>
      <c r="H1" s="272"/>
      <c r="I1" s="272" t="s">
        <v>89</v>
      </c>
      <c r="J1" s="272"/>
      <c r="K1" s="275" t="s">
        <v>90</v>
      </c>
      <c r="L1" s="189"/>
      <c r="M1" s="195" t="s">
        <v>91</v>
      </c>
    </row>
    <row r="2" spans="1:13" ht="23" thickBot="1" x14ac:dyDescent="0.4">
      <c r="A2" s="274"/>
      <c r="B2" s="274"/>
      <c r="C2" s="190" t="s">
        <v>92</v>
      </c>
      <c r="D2" s="191" t="s">
        <v>93</v>
      </c>
      <c r="E2" s="190" t="s">
        <v>92</v>
      </c>
      <c r="F2" s="191" t="s">
        <v>93</v>
      </c>
      <c r="G2" s="190" t="s">
        <v>92</v>
      </c>
      <c r="H2" s="191" t="s">
        <v>93</v>
      </c>
      <c r="I2" s="190" t="s">
        <v>92</v>
      </c>
      <c r="J2" s="191" t="s">
        <v>93</v>
      </c>
      <c r="K2" s="276"/>
      <c r="L2" s="189"/>
      <c r="M2" s="196" t="s">
        <v>94</v>
      </c>
    </row>
    <row r="3" spans="1:13" ht="30.75" customHeight="1" x14ac:dyDescent="0.35">
      <c r="A3" s="277" t="s">
        <v>95</v>
      </c>
      <c r="B3" s="192" t="s">
        <v>96</v>
      </c>
      <c r="C3" s="176">
        <f>COUNTIFS('Quadro Geral'!$F:$F,'Matriz de Obj. Estrat.'!$B3,'Quadro Geral'!$B:$B,"P")</f>
        <v>0</v>
      </c>
      <c r="D3" s="149">
        <f>SUMIFS('Quadro Geral'!$L:$L,'Quadro Geral'!$F:$F,'Matriz de Obj. Estrat.'!$B3,'Quadro Geral'!$B:$B,"P")</f>
        <v>0</v>
      </c>
      <c r="E3" s="176">
        <f>COUNTIFS('Quadro Geral'!$F:$F,'Matriz de Obj. Estrat.'!$B3,'Quadro Geral'!$B:$B,"PE")</f>
        <v>0</v>
      </c>
      <c r="F3" s="149">
        <f>SUMIFS('Quadro Geral'!$L:$L,'Quadro Geral'!$F:$F,'Matriz de Obj. Estrat.'!$B3,'Quadro Geral'!$B:$B,"PE")</f>
        <v>0</v>
      </c>
      <c r="G3" s="176">
        <f>COUNTIFS('Quadro Geral'!$F:$F,'Matriz de Obj. Estrat.'!$B3,'Quadro Geral'!$B:$B,"A")</f>
        <v>0</v>
      </c>
      <c r="H3" s="149">
        <f>SUMIFS('Quadro Geral'!$L:$L,'Quadro Geral'!$F:$F,'Matriz de Obj. Estrat.'!$B3,'Quadro Geral'!$B:$B,"A")</f>
        <v>0</v>
      </c>
      <c r="I3" s="176">
        <f>C3+E3+G3</f>
        <v>0</v>
      </c>
      <c r="J3" s="149">
        <f>D3+F3+H3</f>
        <v>0</v>
      </c>
      <c r="K3" s="177">
        <f t="shared" ref="K3:K18" si="0">IFERROR(J3/$J$19*100,0)</f>
        <v>0</v>
      </c>
      <c r="L3" s="189"/>
      <c r="M3" s="197" t="s">
        <v>108</v>
      </c>
    </row>
    <row r="4" spans="1:13" ht="30.75" customHeight="1" x14ac:dyDescent="0.35">
      <c r="A4" s="277"/>
      <c r="B4" s="192" t="s">
        <v>98</v>
      </c>
      <c r="C4" s="176">
        <f>COUNTIFS('Quadro Geral'!$F:$F,'Matriz de Obj. Estrat.'!$B4,'Quadro Geral'!$B:$B,"P")</f>
        <v>0</v>
      </c>
      <c r="D4" s="149">
        <f>SUMIFS('Quadro Geral'!$L:$L,'Quadro Geral'!$F:$F,'Matriz de Obj. Estrat.'!$B4,'Quadro Geral'!$B:$B,"P")</f>
        <v>0</v>
      </c>
      <c r="E4" s="176">
        <f>COUNTIFS('Quadro Geral'!$F:$F,'Matriz de Obj. Estrat.'!$B4,'Quadro Geral'!$B:$B,"PE")</f>
        <v>0</v>
      </c>
      <c r="F4" s="149">
        <f>SUMIFS('Quadro Geral'!$L:$L,'Quadro Geral'!$F:$F,'Matriz de Obj. Estrat.'!$B4,'Quadro Geral'!$B:$B,"PE")</f>
        <v>0</v>
      </c>
      <c r="G4" s="176">
        <f>COUNTIFS('Quadro Geral'!$F:$F,'Matriz de Obj. Estrat.'!$B4,'Quadro Geral'!$B:$B,"A")</f>
        <v>1</v>
      </c>
      <c r="H4" s="149">
        <f>SUMIFS('Quadro Geral'!$L:$L,'Quadro Geral'!$F:$F,'Matriz de Obj. Estrat.'!$B4,'Quadro Geral'!$B:$B,"A")</f>
        <v>35000</v>
      </c>
      <c r="I4" s="176">
        <f t="shared" ref="I4:I18" si="1">C4+E4+G4</f>
        <v>1</v>
      </c>
      <c r="J4" s="149">
        <f t="shared" ref="J4:J18" si="2">D4+F4+H4</f>
        <v>35000</v>
      </c>
      <c r="K4" s="177">
        <f t="shared" si="0"/>
        <v>0.18241789810790654</v>
      </c>
      <c r="L4" s="189"/>
      <c r="M4" s="198" t="s">
        <v>99</v>
      </c>
    </row>
    <row r="5" spans="1:13" ht="30.75" customHeight="1" thickBot="1" x14ac:dyDescent="0.4">
      <c r="A5" s="270" t="s">
        <v>100</v>
      </c>
      <c r="B5" s="192" t="s">
        <v>101</v>
      </c>
      <c r="C5" s="176">
        <f>COUNTIFS('Quadro Geral'!$F:$F,'Matriz de Obj. Estrat.'!$B5,'Quadro Geral'!$B:$B,"P")</f>
        <v>1</v>
      </c>
      <c r="D5" s="149">
        <f>SUMIFS('Quadro Geral'!$L:$L,'Quadro Geral'!$F:$F,'Matriz de Obj. Estrat.'!$B5,'Quadro Geral'!$B:$B,"P")</f>
        <v>276139.71000000002</v>
      </c>
      <c r="E5" s="176">
        <f>COUNTIFS('Quadro Geral'!$F:$F,'Matriz de Obj. Estrat.'!$B5,'Quadro Geral'!$B:$B,"PE")</f>
        <v>0</v>
      </c>
      <c r="F5" s="149">
        <f>SUMIFS('Quadro Geral'!$L:$L,'Quadro Geral'!$F:$F,'Matriz de Obj. Estrat.'!$B5,'Quadro Geral'!$B:$B,"PE")</f>
        <v>0</v>
      </c>
      <c r="G5" s="176">
        <f>COUNTIFS('Quadro Geral'!$F:$F,'Matriz de Obj. Estrat.'!$B5,'Quadro Geral'!$B:$B,"A")</f>
        <v>3</v>
      </c>
      <c r="H5" s="149">
        <f>SUMIFS('Quadro Geral'!$L:$L,'Quadro Geral'!$F:$F,'Matriz de Obj. Estrat.'!$B5,'Quadro Geral'!$B:$B,"A")</f>
        <v>3554329.9299999997</v>
      </c>
      <c r="I5" s="176">
        <f t="shared" si="1"/>
        <v>4</v>
      </c>
      <c r="J5" s="149">
        <f t="shared" si="2"/>
        <v>3830469.6399999997</v>
      </c>
      <c r="K5" s="177">
        <f t="shared" si="0"/>
        <v>19.964177728427124</v>
      </c>
      <c r="L5" s="189"/>
      <c r="M5" s="199" t="s">
        <v>102</v>
      </c>
    </row>
    <row r="6" spans="1:13" ht="30.75" customHeight="1" x14ac:dyDescent="0.35">
      <c r="A6" s="270"/>
      <c r="B6" s="207" t="s">
        <v>102</v>
      </c>
      <c r="C6" s="208">
        <f>COUNTIFS('Quadro Geral'!$F:$F,'Matriz de Obj. Estrat.'!$B6,'Quadro Geral'!$B:$B,"P")</f>
        <v>0</v>
      </c>
      <c r="D6" s="209">
        <f>SUMIFS('Quadro Geral'!$L:$L,'Quadro Geral'!$F:$F,'Matriz de Obj. Estrat.'!$B6,'Quadro Geral'!$B:$B,"P")</f>
        <v>0</v>
      </c>
      <c r="E6" s="208">
        <f>COUNTIFS('Quadro Geral'!$F:$F,'Matriz de Obj. Estrat.'!$B6,'Quadro Geral'!$B:$B,"PE")</f>
        <v>0</v>
      </c>
      <c r="F6" s="209">
        <f>SUMIFS('Quadro Geral'!$L:$L,'Quadro Geral'!$F:$F,'Matriz de Obj. Estrat.'!$B6,'Quadro Geral'!$B:$B,"PE")</f>
        <v>0</v>
      </c>
      <c r="G6" s="208">
        <f>COUNTIFS('Quadro Geral'!$F:$F,'Matriz de Obj. Estrat.'!$B6,'Quadro Geral'!$B:$B,"A")</f>
        <v>9</v>
      </c>
      <c r="H6" s="209">
        <f>SUMIFS('Quadro Geral'!$L:$L,'Quadro Geral'!$F:$F,'Matriz de Obj. Estrat.'!$B6,'Quadro Geral'!$B:$B,"A")</f>
        <v>3370585.5199999996</v>
      </c>
      <c r="I6" s="208">
        <f t="shared" si="1"/>
        <v>9</v>
      </c>
      <c r="J6" s="209">
        <f t="shared" si="2"/>
        <v>3370585.5199999996</v>
      </c>
      <c r="K6" s="210">
        <f t="shared" si="0"/>
        <v>17.567289312895575</v>
      </c>
      <c r="L6" s="189"/>
    </row>
    <row r="7" spans="1:13" ht="30.75" customHeight="1" x14ac:dyDescent="0.35">
      <c r="A7" s="270"/>
      <c r="B7" s="192" t="s">
        <v>97</v>
      </c>
      <c r="C7" s="215">
        <f>COUNTIFS('Quadro Geral'!$F:$F,'Matriz de Obj. Estrat.'!$B7,'Quadro Geral'!$B:$B,"P")</f>
        <v>0</v>
      </c>
      <c r="D7" s="216">
        <f>SUMIFS('Quadro Geral'!$L:$L,'Quadro Geral'!$F:$F,'Matriz de Obj. Estrat.'!$B7,'Quadro Geral'!$B:$B,"P")</f>
        <v>0</v>
      </c>
      <c r="E7" s="215">
        <f>COUNTIFS('Quadro Geral'!$F:$F,'Matriz de Obj. Estrat.'!$B7,'Quadro Geral'!$B:$B,"PE")</f>
        <v>2</v>
      </c>
      <c r="F7" s="216">
        <f>SUMIFS('Quadro Geral'!$L:$L,'Quadro Geral'!$F:$F,'Matriz de Obj. Estrat.'!$B7,'Quadro Geral'!$B:$B,"PE")</f>
        <v>200000</v>
      </c>
      <c r="G7" s="215">
        <f>COUNTIFS('Quadro Geral'!$F:$F,'Matriz de Obj. Estrat.'!$B7,'Quadro Geral'!$B:$B,"A")</f>
        <v>0</v>
      </c>
      <c r="H7" s="216">
        <f>SUMIFS('Quadro Geral'!$L:$L,'Quadro Geral'!$F:$F,'Matriz de Obj. Estrat.'!$B7,'Quadro Geral'!$B:$B,"A")</f>
        <v>0</v>
      </c>
      <c r="I7" s="215">
        <f t="shared" si="1"/>
        <v>2</v>
      </c>
      <c r="J7" s="216">
        <f t="shared" si="2"/>
        <v>200000</v>
      </c>
      <c r="K7" s="217">
        <f t="shared" si="0"/>
        <v>1.0423879891880374</v>
      </c>
      <c r="L7" s="189"/>
    </row>
    <row r="8" spans="1:13" ht="30.75" customHeight="1" x14ac:dyDescent="0.35">
      <c r="A8" s="270"/>
      <c r="B8" s="192" t="s">
        <v>103</v>
      </c>
      <c r="C8" s="176">
        <f>COUNTIFS('Quadro Geral'!$F:$F,'Matriz de Obj. Estrat.'!$B8,'Quadro Geral'!$B:$B,"P")</f>
        <v>0</v>
      </c>
      <c r="D8" s="149">
        <f>SUMIFS('Quadro Geral'!$L:$L,'Quadro Geral'!$F:$F,'Matriz de Obj. Estrat.'!$B8,'Quadro Geral'!$B:$B,"P")</f>
        <v>0</v>
      </c>
      <c r="E8" s="176">
        <f>COUNTIFS('Quadro Geral'!$F:$F,'Matriz de Obj. Estrat.'!$B8,'Quadro Geral'!$B:$B,"PE")</f>
        <v>0</v>
      </c>
      <c r="F8" s="149">
        <f>SUMIFS('Quadro Geral'!$L:$L,'Quadro Geral'!$F:$F,'Matriz de Obj. Estrat.'!$B8,'Quadro Geral'!$B:$B,"PE")</f>
        <v>0</v>
      </c>
      <c r="G8" s="176">
        <f>COUNTIFS('Quadro Geral'!$F:$F,'Matriz de Obj. Estrat.'!$B8,'Quadro Geral'!$B:$B,"A")</f>
        <v>1</v>
      </c>
      <c r="H8" s="149">
        <f>SUMIFS('Quadro Geral'!$L:$L,'Quadro Geral'!$F:$F,'Matriz de Obj. Estrat.'!$B8,'Quadro Geral'!$B:$B,"A")</f>
        <v>195444.7233333333</v>
      </c>
      <c r="I8" s="176">
        <f t="shared" si="1"/>
        <v>1</v>
      </c>
      <c r="J8" s="149">
        <f t="shared" si="2"/>
        <v>195444.7233333333</v>
      </c>
      <c r="K8" s="177">
        <f t="shared" si="0"/>
        <v>1.0186461607642279</v>
      </c>
      <c r="L8" s="189"/>
    </row>
    <row r="9" spans="1:13" ht="30.75" customHeight="1" x14ac:dyDescent="0.35">
      <c r="A9" s="270"/>
      <c r="B9" s="192" t="s">
        <v>104</v>
      </c>
      <c r="C9" s="176">
        <f>COUNTIFS('Quadro Geral'!$F:$F,'Matriz de Obj. Estrat.'!$B9,'Quadro Geral'!$B:$B,"P")</f>
        <v>0</v>
      </c>
      <c r="D9" s="149">
        <f>SUMIFS('Quadro Geral'!$L:$L,'Quadro Geral'!$F:$F,'Matriz de Obj. Estrat.'!$B9,'Quadro Geral'!$B:$B,"P")</f>
        <v>0</v>
      </c>
      <c r="E9" s="176">
        <f>COUNTIFS('Quadro Geral'!$F:$F,'Matriz de Obj. Estrat.'!$B9,'Quadro Geral'!$B:$B,"PE")</f>
        <v>1</v>
      </c>
      <c r="F9" s="149">
        <f>SUMIFS('Quadro Geral'!$L:$L,'Quadro Geral'!$F:$F,'Matriz de Obj. Estrat.'!$B9,'Quadro Geral'!$B:$B,"PE")</f>
        <v>50000</v>
      </c>
      <c r="G9" s="176">
        <f>COUNTIFS('Quadro Geral'!$F:$F,'Matriz de Obj. Estrat.'!$B9,'Quadro Geral'!$B:$B,"A")</f>
        <v>1</v>
      </c>
      <c r="H9" s="149">
        <f>SUMIFS('Quadro Geral'!$L:$L,'Quadro Geral'!$F:$F,'Matriz de Obj. Estrat.'!$B9,'Quadro Geral'!$B:$B,"A")</f>
        <v>71236.566666666666</v>
      </c>
      <c r="I9" s="176">
        <f t="shared" si="1"/>
        <v>2</v>
      </c>
      <c r="J9" s="149">
        <f t="shared" si="2"/>
        <v>121236.56666666667</v>
      </c>
      <c r="K9" s="177">
        <f t="shared" si="0"/>
        <v>0.63187770471864058</v>
      </c>
      <c r="L9" s="189"/>
    </row>
    <row r="10" spans="1:13" s="226" customFormat="1" ht="30.75" customHeight="1" x14ac:dyDescent="0.35">
      <c r="A10" s="270"/>
      <c r="B10" s="207" t="s">
        <v>105</v>
      </c>
      <c r="C10" s="208">
        <f>COUNTIFS('Quadro Geral'!$F:$F,'Matriz de Obj. Estrat.'!$B10,'Quadro Geral'!$B:$B,"P")</f>
        <v>1</v>
      </c>
      <c r="D10" s="209">
        <f>SUMIFS('Quadro Geral'!$L:$L,'Quadro Geral'!$F:$F,'Matriz de Obj. Estrat.'!$B10,'Quadro Geral'!$B:$B,"P")</f>
        <v>50000</v>
      </c>
      <c r="E10" s="208">
        <f>COUNTIFS('Quadro Geral'!$F:$F,'Matriz de Obj. Estrat.'!$B10,'Quadro Geral'!$B:$B,"PE")</f>
        <v>1</v>
      </c>
      <c r="F10" s="209">
        <f>SUMIFS('Quadro Geral'!$L:$L,'Quadro Geral'!$F:$F,'Matriz de Obj. Estrat.'!$B10,'Quadro Geral'!$B:$B,"PE")</f>
        <v>250000</v>
      </c>
      <c r="G10" s="208">
        <f>COUNTIFS('Quadro Geral'!$F:$F,'Matriz de Obj. Estrat.'!$B10,'Quadro Geral'!$B:$B,"A")</f>
        <v>1</v>
      </c>
      <c r="H10" s="209">
        <f>SUMIFS('Quadro Geral'!$L:$L,'Quadro Geral'!$F:$F,'Matriz de Obj. Estrat.'!$B10,'Quadro Geral'!$B:$B,"A")</f>
        <v>62547.893333333348</v>
      </c>
      <c r="I10" s="208">
        <f t="shared" si="1"/>
        <v>3</v>
      </c>
      <c r="J10" s="209">
        <f t="shared" si="2"/>
        <v>362547.89333333337</v>
      </c>
      <c r="K10" s="210">
        <f t="shared" si="0"/>
        <v>1.8895778475804619</v>
      </c>
      <c r="L10" s="224"/>
      <c r="M10" s="225"/>
    </row>
    <row r="11" spans="1:13" ht="30.75" customHeight="1" x14ac:dyDescent="0.35">
      <c r="A11" s="270"/>
      <c r="B11" s="192" t="s">
        <v>106</v>
      </c>
      <c r="C11" s="176">
        <f>COUNTIFS('Quadro Geral'!$F:$F,'Matriz de Obj. Estrat.'!$B11,'Quadro Geral'!$B:$B,"P")</f>
        <v>0</v>
      </c>
      <c r="D11" s="149">
        <f>SUMIFS('Quadro Geral'!$L:$L,'Quadro Geral'!$F:$F,'Matriz de Obj. Estrat.'!$B11,'Quadro Geral'!$B:$B,"P")</f>
        <v>0</v>
      </c>
      <c r="E11" s="176">
        <f>COUNTIFS('Quadro Geral'!$F:$F,'Matriz de Obj. Estrat.'!$B11,'Quadro Geral'!$B:$B,"PE")</f>
        <v>1</v>
      </c>
      <c r="F11" s="149">
        <f>SUMIFS('Quadro Geral'!$L:$L,'Quadro Geral'!$F:$F,'Matriz de Obj. Estrat.'!$B11,'Quadro Geral'!$B:$B,"PE")</f>
        <v>280000</v>
      </c>
      <c r="G11" s="176">
        <f>COUNTIFS('Quadro Geral'!$F:$F,'Matriz de Obj. Estrat.'!$B11,'Quadro Geral'!$B:$B,"A")</f>
        <v>3</v>
      </c>
      <c r="H11" s="149">
        <f>SUMIFS('Quadro Geral'!$L:$L,'Quadro Geral'!$F:$F,'Matriz de Obj. Estrat.'!$B11,'Quadro Geral'!$B:$B,"A")</f>
        <v>1056998.6035873333</v>
      </c>
      <c r="I11" s="176">
        <f t="shared" si="1"/>
        <v>4</v>
      </c>
      <c r="J11" s="149">
        <f t="shared" si="2"/>
        <v>1336998.6035873333</v>
      </c>
      <c r="K11" s="177">
        <f t="shared" si="0"/>
        <v>6.9683564297030713</v>
      </c>
      <c r="L11" s="189"/>
    </row>
    <row r="12" spans="1:13" ht="30.75" customHeight="1" x14ac:dyDescent="0.35">
      <c r="A12" s="270"/>
      <c r="B12" s="192" t="s">
        <v>107</v>
      </c>
      <c r="C12" s="176">
        <f>COUNTIFS('Quadro Geral'!$F:$F,'Matriz de Obj. Estrat.'!$B12,'Quadro Geral'!$B:$B,"P")</f>
        <v>0</v>
      </c>
      <c r="D12" s="149">
        <f>SUMIFS('Quadro Geral'!$L:$L,'Quadro Geral'!$F:$F,'Matriz de Obj. Estrat.'!$B12,'Quadro Geral'!$B:$B,"P")</f>
        <v>0</v>
      </c>
      <c r="E12" s="176">
        <f>COUNTIFS('Quadro Geral'!$F:$F,'Matriz de Obj. Estrat.'!$B12,'Quadro Geral'!$B:$B,"PE")</f>
        <v>0</v>
      </c>
      <c r="F12" s="149">
        <f>SUMIFS('Quadro Geral'!$L:$L,'Quadro Geral'!$F:$F,'Matriz de Obj. Estrat.'!$B12,'Quadro Geral'!$B:$B,"PE")</f>
        <v>0</v>
      </c>
      <c r="G12" s="176">
        <f>COUNTIFS('Quadro Geral'!$F:$F,'Matriz de Obj. Estrat.'!$B12,'Quadro Geral'!$B:$B,"A")</f>
        <v>1</v>
      </c>
      <c r="H12" s="149">
        <f>SUMIFS('Quadro Geral'!$L:$L,'Quadro Geral'!$F:$F,'Matriz de Obj. Estrat.'!$B12,'Quadro Geral'!$B:$B,"A")</f>
        <v>198229.56000000003</v>
      </c>
      <c r="I12" s="176">
        <f t="shared" si="1"/>
        <v>1</v>
      </c>
      <c r="J12" s="149">
        <f t="shared" si="2"/>
        <v>198229.56000000003</v>
      </c>
      <c r="K12" s="177">
        <f t="shared" si="0"/>
        <v>1.0331605622301472</v>
      </c>
      <c r="L12" s="189"/>
    </row>
    <row r="13" spans="1:13" ht="30.75" customHeight="1" x14ac:dyDescent="0.35">
      <c r="A13" s="270"/>
      <c r="B13" s="207" t="s">
        <v>108</v>
      </c>
      <c r="C13" s="208">
        <f>COUNTIFS('Quadro Geral'!$F:$F,'Matriz de Obj. Estrat.'!$B13,'Quadro Geral'!$B:$B,"P")</f>
        <v>0</v>
      </c>
      <c r="D13" s="209">
        <f>SUMIFS('Quadro Geral'!$L:$L,'Quadro Geral'!$F:$F,'Matriz de Obj. Estrat.'!$B13,'Quadro Geral'!$B:$B,"P")</f>
        <v>0</v>
      </c>
      <c r="E13" s="208">
        <f>COUNTIFS('Quadro Geral'!$F:$F,'Matriz de Obj. Estrat.'!$B13,'Quadro Geral'!$B:$B,"PE")</f>
        <v>1</v>
      </c>
      <c r="F13" s="209">
        <f>SUMIFS('Quadro Geral'!$L:$L,'Quadro Geral'!$F:$F,'Matriz de Obj. Estrat.'!$B13,'Quadro Geral'!$B:$B,"PE")</f>
        <v>500000</v>
      </c>
      <c r="G13" s="208">
        <f>COUNTIFS('Quadro Geral'!$F:$F,'Matriz de Obj. Estrat.'!$B13,'Quadro Geral'!$B:$B,"A")</f>
        <v>1</v>
      </c>
      <c r="H13" s="209">
        <f>SUMIFS('Quadro Geral'!$L:$L,'Quadro Geral'!$F:$F,'Matriz de Obj. Estrat.'!$B13,'Quadro Geral'!$B:$B,"A")</f>
        <v>81628.773333333331</v>
      </c>
      <c r="I13" s="208">
        <f t="shared" si="1"/>
        <v>2</v>
      </c>
      <c r="J13" s="209">
        <f t="shared" si="2"/>
        <v>581628.77333333332</v>
      </c>
      <c r="K13" s="210">
        <f t="shared" si="0"/>
        <v>3.0314142374441904</v>
      </c>
      <c r="L13" s="189"/>
    </row>
    <row r="14" spans="1:13" ht="30.75" customHeight="1" x14ac:dyDescent="0.35">
      <c r="A14" s="270"/>
      <c r="B14" s="192" t="s">
        <v>109</v>
      </c>
      <c r="C14" s="176">
        <f>COUNTIFS('Quadro Geral'!$F:$F,'Matriz de Obj. Estrat.'!$B14,'Quadro Geral'!$B:$B,"P")</f>
        <v>0</v>
      </c>
      <c r="D14" s="149">
        <f>SUMIFS('Quadro Geral'!$L:$L,'Quadro Geral'!$F:$F,'Matriz de Obj. Estrat.'!$B14,'Quadro Geral'!$B:$B,"P")</f>
        <v>0</v>
      </c>
      <c r="E14" s="176">
        <f>COUNTIFS('Quadro Geral'!$F:$F,'Matriz de Obj. Estrat.'!$B14,'Quadro Geral'!$B:$B,"PE")</f>
        <v>0</v>
      </c>
      <c r="F14" s="149">
        <f>SUMIFS('Quadro Geral'!$L:$L,'Quadro Geral'!$F:$F,'Matriz de Obj. Estrat.'!$B14,'Quadro Geral'!$B:$B,"PE")</f>
        <v>0</v>
      </c>
      <c r="G14" s="176">
        <f>COUNTIFS('Quadro Geral'!$F:$F,'Matriz de Obj. Estrat.'!$B14,'Quadro Geral'!$B:$B,"A")</f>
        <v>5</v>
      </c>
      <c r="H14" s="149">
        <f>SUMIFS('Quadro Geral'!$L:$L,'Quadro Geral'!$F:$F,'Matriz de Obj. Estrat.'!$B14,'Quadro Geral'!$B:$B,"A")</f>
        <v>2794614.95</v>
      </c>
      <c r="I14" s="176">
        <f t="shared" si="1"/>
        <v>5</v>
      </c>
      <c r="J14" s="149">
        <f t="shared" si="2"/>
        <v>2794614.95</v>
      </c>
      <c r="K14" s="177">
        <f t="shared" si="0"/>
        <v>14.565365291426637</v>
      </c>
      <c r="L14" s="189"/>
    </row>
    <row r="15" spans="1:13" ht="30.75" customHeight="1" x14ac:dyDescent="0.35">
      <c r="A15" s="270"/>
      <c r="B15" s="192" t="s">
        <v>99</v>
      </c>
      <c r="C15" s="215">
        <f>COUNTIFS('Quadro Geral'!$F:$F,'Matriz de Obj. Estrat.'!$B15,'Quadro Geral'!$B:$B,"P")</f>
        <v>0</v>
      </c>
      <c r="D15" s="216">
        <f>SUMIFS('Quadro Geral'!$L:$L,'Quadro Geral'!$F:$F,'Matriz de Obj. Estrat.'!$B15,'Quadro Geral'!$B:$B,"P")</f>
        <v>0</v>
      </c>
      <c r="E15" s="215">
        <f>COUNTIFS('Quadro Geral'!$F:$F,'Matriz de Obj. Estrat.'!$B15,'Quadro Geral'!$B:$B,"PE")</f>
        <v>1</v>
      </c>
      <c r="F15" s="216">
        <f>SUMIFS('Quadro Geral'!$L:$L,'Quadro Geral'!$F:$F,'Matriz de Obj. Estrat.'!$B15,'Quadro Geral'!$B:$B,"PE")</f>
        <v>150000</v>
      </c>
      <c r="G15" s="215">
        <f>COUNTIFS('Quadro Geral'!$F:$F,'Matriz de Obj. Estrat.'!$B15,'Quadro Geral'!$B:$B,"A")</f>
        <v>7</v>
      </c>
      <c r="H15" s="216">
        <f>SUMIFS('Quadro Geral'!$L:$L,'Quadro Geral'!$F:$F,'Matriz de Obj. Estrat.'!$B15,'Quadro Geral'!$B:$B,"A")</f>
        <v>3274575.0200000005</v>
      </c>
      <c r="I15" s="215">
        <f t="shared" si="1"/>
        <v>8</v>
      </c>
      <c r="J15" s="216">
        <f t="shared" si="2"/>
        <v>3424575.0200000005</v>
      </c>
      <c r="K15" s="217">
        <f t="shared" si="0"/>
        <v>17.848679344606914</v>
      </c>
      <c r="L15" s="189"/>
    </row>
    <row r="16" spans="1:13" ht="30.75" customHeight="1" x14ac:dyDescent="0.35">
      <c r="A16" s="270" t="s">
        <v>110</v>
      </c>
      <c r="B16" s="192" t="s">
        <v>111</v>
      </c>
      <c r="C16" s="176">
        <f>COUNTIFS('Quadro Geral'!$F:$F,'Matriz de Obj. Estrat.'!$B16,'Quadro Geral'!$B:$B,"P")</f>
        <v>0</v>
      </c>
      <c r="D16" s="149">
        <f>SUMIFS('Quadro Geral'!$L:$L,'Quadro Geral'!$F:$F,'Matriz de Obj. Estrat.'!$B16,'Quadro Geral'!$B:$B,"P")</f>
        <v>0</v>
      </c>
      <c r="E16" s="176">
        <f>COUNTIFS('Quadro Geral'!$F:$F,'Matriz de Obj. Estrat.'!$B16,'Quadro Geral'!$B:$B,"PE")</f>
        <v>0</v>
      </c>
      <c r="F16" s="149">
        <f>SUMIFS('Quadro Geral'!$L:$L,'Quadro Geral'!$F:$F,'Matriz de Obj. Estrat.'!$B16,'Quadro Geral'!$B:$B,"PE")</f>
        <v>0</v>
      </c>
      <c r="G16" s="176">
        <f>COUNTIFS('Quadro Geral'!$F:$F,'Matriz de Obj. Estrat.'!$B16,'Quadro Geral'!$B:$B,"A")</f>
        <v>1</v>
      </c>
      <c r="H16" s="149">
        <f>SUMIFS('Quadro Geral'!$L:$L,'Quadro Geral'!$F:$F,'Matriz de Obj. Estrat.'!$B16,'Quadro Geral'!$B:$B,"A")</f>
        <v>202332.27</v>
      </c>
      <c r="I16" s="176">
        <f t="shared" si="1"/>
        <v>1</v>
      </c>
      <c r="J16" s="149">
        <f t="shared" si="2"/>
        <v>202332.27</v>
      </c>
      <c r="K16" s="177">
        <f t="shared" si="0"/>
        <v>1.0545436403657551</v>
      </c>
      <c r="L16" s="189"/>
    </row>
    <row r="17" spans="1:12" ht="30.75" customHeight="1" x14ac:dyDescent="0.35">
      <c r="A17" s="270"/>
      <c r="B17" s="192" t="s">
        <v>112</v>
      </c>
      <c r="C17" s="176">
        <f>COUNTIFS('Quadro Geral'!$F:$F,'Matriz de Obj. Estrat.'!$B17,'Quadro Geral'!$B:$B,"P")</f>
        <v>0</v>
      </c>
      <c r="D17" s="149">
        <f>SUMIFS('Quadro Geral'!$L:$L,'Quadro Geral'!$F:$F,'Matriz de Obj. Estrat.'!$B17,'Quadro Geral'!$B:$B,"P")</f>
        <v>0</v>
      </c>
      <c r="E17" s="176">
        <f>COUNTIFS('Quadro Geral'!$F:$F,'Matriz de Obj. Estrat.'!$B17,'Quadro Geral'!$B:$B,"PE")</f>
        <v>1</v>
      </c>
      <c r="F17" s="149">
        <f>SUMIFS('Quadro Geral'!$L:$L,'Quadro Geral'!$F:$F,'Matriz de Obj. Estrat.'!$B17,'Quadro Geral'!$B:$B,"PE")</f>
        <v>200000</v>
      </c>
      <c r="G17" s="176">
        <f>COUNTIFS('Quadro Geral'!$F:$F,'Matriz de Obj. Estrat.'!$B17,'Quadro Geral'!$B:$B,"A")</f>
        <v>5</v>
      </c>
      <c r="H17" s="149">
        <f>SUMIFS('Quadro Geral'!$L:$L,'Quadro Geral'!$F:$F,'Matriz de Obj. Estrat.'!$B17,'Quadro Geral'!$B:$B,"A")</f>
        <v>1163050.2633333332</v>
      </c>
      <c r="I17" s="176">
        <f t="shared" si="1"/>
        <v>6</v>
      </c>
      <c r="J17" s="149">
        <f t="shared" si="2"/>
        <v>1363050.2633333332</v>
      </c>
      <c r="K17" s="177">
        <f t="shared" si="0"/>
        <v>7.1041361157912899</v>
      </c>
      <c r="L17" s="189"/>
    </row>
    <row r="18" spans="1:12" ht="30.75" customHeight="1" x14ac:dyDescent="0.35">
      <c r="A18" s="270"/>
      <c r="B18" s="192" t="s">
        <v>113</v>
      </c>
      <c r="C18" s="176">
        <f>COUNTIFS('Quadro Geral'!$F:$F,'Matriz de Obj. Estrat.'!$B18,'Quadro Geral'!$B:$B,"P")</f>
        <v>0</v>
      </c>
      <c r="D18" s="149">
        <f>SUMIFS('Quadro Geral'!$L:$L,'Quadro Geral'!$F:$F,'Matriz de Obj. Estrat.'!$B18,'Quadro Geral'!$B:$B,"P")</f>
        <v>0</v>
      </c>
      <c r="E18" s="176">
        <f>COUNTIFS('Quadro Geral'!$F:$F,'Matriz de Obj. Estrat.'!$B18,'Quadro Geral'!$B:$B,"PE")</f>
        <v>1</v>
      </c>
      <c r="F18" s="149">
        <f>SUMIFS('Quadro Geral'!$L:$L,'Quadro Geral'!$F:$F,'Matriz de Obj. Estrat.'!$B18,'Quadro Geral'!$B:$B,"PE")</f>
        <v>1170000</v>
      </c>
      <c r="G18" s="176">
        <f>COUNTIFS('Quadro Geral'!$F:$F,'Matriz de Obj. Estrat.'!$B18,'Quadro Geral'!$B:$B,"A")</f>
        <v>0</v>
      </c>
      <c r="H18" s="149">
        <f>SUMIFS('Quadro Geral'!$L:$L,'Quadro Geral'!$F:$F,'Matriz de Obj. Estrat.'!$B18,'Quadro Geral'!$B:$B,"A")</f>
        <v>0</v>
      </c>
      <c r="I18" s="176">
        <f t="shared" si="1"/>
        <v>1</v>
      </c>
      <c r="J18" s="149">
        <f t="shared" si="2"/>
        <v>1170000</v>
      </c>
      <c r="K18" s="177">
        <f t="shared" si="0"/>
        <v>6.0979697367500183</v>
      </c>
      <c r="L18" s="189"/>
    </row>
    <row r="19" spans="1:12" ht="23.5" x14ac:dyDescent="0.35">
      <c r="A19" s="271" t="s">
        <v>114</v>
      </c>
      <c r="B19" s="271"/>
      <c r="C19" s="178">
        <f>SUM(C3:C18)</f>
        <v>2</v>
      </c>
      <c r="D19" s="179">
        <f t="shared" ref="D19:J19" si="3">SUM(D3:D18)</f>
        <v>326139.71000000002</v>
      </c>
      <c r="E19" s="178">
        <f t="shared" si="3"/>
        <v>9</v>
      </c>
      <c r="F19" s="179">
        <f t="shared" si="3"/>
        <v>2800000</v>
      </c>
      <c r="G19" s="178">
        <f t="shared" si="3"/>
        <v>39</v>
      </c>
      <c r="H19" s="179">
        <f t="shared" si="3"/>
        <v>16060574.073587334</v>
      </c>
      <c r="I19" s="178">
        <f t="shared" si="3"/>
        <v>50</v>
      </c>
      <c r="J19" s="179">
        <f t="shared" si="3"/>
        <v>19186713.783587333</v>
      </c>
      <c r="K19" s="180">
        <f>SUM(K3:K18)</f>
        <v>100</v>
      </c>
      <c r="L19" s="193"/>
    </row>
    <row r="20" spans="1:12" x14ac:dyDescent="0.35">
      <c r="A20" s="194"/>
      <c r="B20" s="185"/>
      <c r="C20" s="181"/>
      <c r="D20" s="182"/>
      <c r="E20" s="183"/>
      <c r="F20" s="182"/>
      <c r="G20" s="183"/>
      <c r="H20" s="182"/>
      <c r="I20" s="183"/>
      <c r="J20" s="184">
        <f>'Quadro Geral'!L57</f>
        <v>19186713.783587333</v>
      </c>
      <c r="K20" s="185"/>
      <c r="L20" s="189"/>
    </row>
    <row r="21" spans="1:12" x14ac:dyDescent="0.35">
      <c r="A21" s="194"/>
      <c r="B21" s="185"/>
      <c r="C21" s="181"/>
      <c r="D21" s="186"/>
      <c r="E21" s="181"/>
      <c r="F21" s="186"/>
      <c r="G21" s="181"/>
      <c r="H21" s="186"/>
      <c r="I21" s="181"/>
      <c r="J21" s="187" t="b">
        <f>J20=J19</f>
        <v>1</v>
      </c>
      <c r="K21" s="188">
        <f>IFERROR(SUMIF($B$3:$B$18,$M$3,$J$3:$J$18),)+IFERROR(SUMIF($B$3:$B$18,$M$4,$J$3:$J$18),)+IFERROR(SUMIF($B$3:$B$18,$M$5,$J$3:$J$18),)</f>
        <v>7376789.3133333335</v>
      </c>
      <c r="L21" s="189"/>
    </row>
    <row r="25" spans="1:12" hidden="1" x14ac:dyDescent="0.35">
      <c r="A25" s="165"/>
    </row>
    <row r="26" spans="1:12" hidden="1" x14ac:dyDescent="0.35">
      <c r="A26" s="165"/>
    </row>
  </sheetData>
  <sheetProtection selectLockedCells="1"/>
  <mergeCells count="11">
    <mergeCell ref="G1:H1"/>
    <mergeCell ref="I1:J1"/>
    <mergeCell ref="K1:K2"/>
    <mergeCell ref="A3:A4"/>
    <mergeCell ref="A5:A15"/>
    <mergeCell ref="A16:A18"/>
    <mergeCell ref="A19:B19"/>
    <mergeCell ref="E1:F1"/>
    <mergeCell ref="A1:A2"/>
    <mergeCell ref="B1:B2"/>
    <mergeCell ref="C1:D1"/>
  </mergeCells>
  <conditionalFormatting sqref="C2:I2">
    <cfRule type="cellIs" dxfId="16" priority="11" operator="equal">
      <formula>"S"</formula>
    </cfRule>
    <cfRule type="cellIs" dxfId="15" priority="12" operator="equal">
      <formula>"P"</formula>
    </cfRule>
    <cfRule type="cellIs" dxfId="14" priority="13" operator="equal">
      <formula>"x"</formula>
    </cfRule>
  </conditionalFormatting>
  <conditionalFormatting sqref="J21">
    <cfRule type="cellIs" dxfId="13" priority="9" operator="equal">
      <formula>TRUE</formula>
    </cfRule>
    <cfRule type="cellIs" dxfId="12" priority="10" operator="equal">
      <formula>FALSE</formula>
    </cfRule>
  </conditionalFormatting>
  <pageMargins left="0.511811024" right="0.511811024" top="0.78740157499999996" bottom="0.78740157499999996" header="0.31496062000000002" footer="0.31496062000000002"/>
  <pageSetup scale="3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'Validação de dados'!$D$1:$D$13</xm:f>
          </x14:formula1>
          <xm:sqref>M3:M5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5"/>
  <sheetViews>
    <sheetView showGridLines="0" zoomScale="70" zoomScaleNormal="70" zoomScaleSheetLayoutView="90" workbookViewId="0">
      <selection sqref="A1:K1"/>
    </sheetView>
  </sheetViews>
  <sheetFormatPr defaultColWidth="0" defaultRowHeight="15.5" zeroHeight="1" x14ac:dyDescent="0.35"/>
  <cols>
    <col min="1" max="11" width="9.1796875" style="2" customWidth="1"/>
    <col min="12" max="14" width="9.1796875" hidden="1" customWidth="1"/>
    <col min="15" max="16384" width="9.1796875" hidden="1"/>
  </cols>
  <sheetData>
    <row r="1" spans="1:20" ht="23.25" customHeight="1" x14ac:dyDescent="0.35">
      <c r="A1" s="278" t="s">
        <v>519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20" ht="379.5" customHeight="1" x14ac:dyDescent="0.35">
      <c r="A2" s="280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41"/>
      <c r="M2" s="41"/>
      <c r="N2" s="41"/>
      <c r="O2" s="41"/>
      <c r="P2" s="41"/>
      <c r="Q2" s="41"/>
      <c r="R2" s="41"/>
      <c r="S2" s="41"/>
      <c r="T2" s="41"/>
    </row>
    <row r="3" spans="1:20" x14ac:dyDescent="0.35">
      <c r="A3" s="278" t="s">
        <v>115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1"/>
      <c r="M3" s="1"/>
      <c r="N3" s="1"/>
      <c r="O3" s="1"/>
    </row>
    <row r="4" spans="1:20" ht="300" customHeight="1" x14ac:dyDescent="0.35"/>
    <row r="5" spans="1:20" x14ac:dyDescent="0.35"/>
  </sheetData>
  <mergeCells count="3">
    <mergeCell ref="A3:K3"/>
    <mergeCell ref="A1:K1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owerPoint.Slide.12" shapeId="40961" r:id="rId4">
          <objectPr defaultSize="0" autoPict="0" r:id="rId5">
            <anchor moveWithCells="1">
              <from>
                <xdr:col>0</xdr:col>
                <xdr:colOff>31750</xdr:colOff>
                <xdr:row>1</xdr:row>
                <xdr:rowOff>19050</xdr:rowOff>
              </from>
              <to>
                <xdr:col>11</xdr:col>
                <xdr:colOff>0</xdr:colOff>
                <xdr:row>1</xdr:row>
                <xdr:rowOff>4800600</xdr:rowOff>
              </to>
            </anchor>
          </objectPr>
        </oleObject>
      </mc:Choice>
      <mc:Fallback>
        <oleObject progId="PowerPoint.Slide.12" shapeId="4096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122"/>
  <sheetViews>
    <sheetView showGridLines="0" topLeftCell="A4" zoomScale="70" zoomScaleNormal="70" zoomScaleSheetLayoutView="50" workbookViewId="0">
      <selection activeCell="A54" sqref="A54"/>
    </sheetView>
  </sheetViews>
  <sheetFormatPr defaultColWidth="0" defaultRowHeight="23.5" zeroHeight="1" x14ac:dyDescent="0.55000000000000004"/>
  <cols>
    <col min="1" max="1" width="60.7265625" style="68" customWidth="1"/>
    <col min="2" max="2" width="81" style="69" customWidth="1"/>
    <col min="3" max="3" width="11.54296875" style="70" customWidth="1"/>
    <col min="4" max="4" width="16.453125" style="69" customWidth="1"/>
    <col min="5" max="5" width="17" style="69" customWidth="1"/>
    <col min="6" max="6" width="17" style="71" customWidth="1"/>
    <col min="7" max="16384" width="9.1796875" style="48" hidden="1"/>
  </cols>
  <sheetData>
    <row r="1" spans="1:16" s="49" customFormat="1" x14ac:dyDescent="0.55000000000000004">
      <c r="A1" s="304" t="s">
        <v>348</v>
      </c>
      <c r="B1" s="304"/>
      <c r="C1" s="304"/>
      <c r="D1" s="304"/>
      <c r="E1" s="304"/>
      <c r="F1" s="304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49" customFormat="1" x14ac:dyDescent="0.55000000000000004">
      <c r="A2" s="304" t="s">
        <v>116</v>
      </c>
      <c r="B2" s="304"/>
      <c r="C2" s="304"/>
      <c r="D2" s="304"/>
      <c r="E2" s="304"/>
      <c r="F2" s="304"/>
    </row>
    <row r="3" spans="1:16" s="49" customFormat="1" ht="21" customHeight="1" x14ac:dyDescent="0.55000000000000004">
      <c r="A3" s="51"/>
      <c r="B3" s="51"/>
      <c r="C3" s="51"/>
      <c r="D3" s="51"/>
      <c r="E3" s="51"/>
      <c r="F3" s="52"/>
    </row>
    <row r="4" spans="1:16" s="49" customFormat="1" ht="45" customHeight="1" x14ac:dyDescent="0.55000000000000004">
      <c r="A4" s="282" t="s">
        <v>117</v>
      </c>
      <c r="B4" s="282"/>
      <c r="C4" s="282"/>
      <c r="D4" s="282"/>
      <c r="E4" s="282"/>
      <c r="F4" s="282"/>
    </row>
    <row r="5" spans="1:16" s="49" customFormat="1" ht="45" customHeight="1" x14ac:dyDescent="0.55000000000000004">
      <c r="A5" s="105" t="s">
        <v>96</v>
      </c>
      <c r="B5" s="283" t="s">
        <v>118</v>
      </c>
      <c r="C5" s="283"/>
      <c r="D5" s="169" t="s">
        <v>119</v>
      </c>
      <c r="E5" s="106" t="s">
        <v>120</v>
      </c>
      <c r="F5" s="106" t="s">
        <v>121</v>
      </c>
    </row>
    <row r="6" spans="1:16" s="49" customFormat="1" ht="30.75" customHeight="1" x14ac:dyDescent="0.55000000000000004">
      <c r="A6" s="284" t="s">
        <v>122</v>
      </c>
      <c r="B6" s="54" t="s">
        <v>441</v>
      </c>
      <c r="C6" s="285" t="s">
        <v>123</v>
      </c>
      <c r="D6" s="285" t="s">
        <v>124</v>
      </c>
      <c r="E6" s="286">
        <v>0.38335287221570924</v>
      </c>
      <c r="F6" s="286">
        <v>0.38335287221570924</v>
      </c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s="49" customFormat="1" ht="30.75" customHeight="1" x14ac:dyDescent="0.55000000000000004">
      <c r="A7" s="284"/>
      <c r="B7" s="55" t="s">
        <v>442</v>
      </c>
      <c r="C7" s="285"/>
      <c r="D7" s="285"/>
      <c r="E7" s="286"/>
      <c r="F7" s="286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s="49" customFormat="1" ht="24" customHeight="1" x14ac:dyDescent="0.55000000000000004">
      <c r="A8" s="53"/>
      <c r="B8" s="51"/>
      <c r="C8" s="51"/>
      <c r="D8" s="51"/>
      <c r="E8" s="51"/>
      <c r="F8" s="52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s="49" customFormat="1" ht="45" customHeight="1" x14ac:dyDescent="0.55000000000000004">
      <c r="A9" s="282" t="s">
        <v>126</v>
      </c>
      <c r="B9" s="282"/>
      <c r="C9" s="282"/>
      <c r="D9" s="282"/>
      <c r="E9" s="282"/>
      <c r="F9" s="282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s="49" customFormat="1" ht="45" customHeight="1" x14ac:dyDescent="0.55000000000000004">
      <c r="A10" s="105" t="s">
        <v>101</v>
      </c>
      <c r="B10" s="283" t="s">
        <v>118</v>
      </c>
      <c r="C10" s="283"/>
      <c r="D10" s="106" t="s">
        <v>119</v>
      </c>
      <c r="E10" s="106" t="s">
        <v>120</v>
      </c>
      <c r="F10" s="106" t="s">
        <v>121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s="49" customFormat="1" ht="34.5" customHeight="1" x14ac:dyDescent="0.55000000000000004">
      <c r="A11" s="284" t="s">
        <v>127</v>
      </c>
      <c r="B11" s="54" t="s">
        <v>443</v>
      </c>
      <c r="C11" s="285" t="s">
        <v>123</v>
      </c>
      <c r="D11" s="285" t="s">
        <v>128</v>
      </c>
      <c r="E11" s="286">
        <v>0.74984326018808778</v>
      </c>
      <c r="F11" s="286">
        <v>0.74984326018808778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s="49" customFormat="1" ht="34.5" customHeight="1" x14ac:dyDescent="0.55000000000000004">
      <c r="A12" s="284"/>
      <c r="B12" s="55" t="s">
        <v>444</v>
      </c>
      <c r="C12" s="285"/>
      <c r="D12" s="285"/>
      <c r="E12" s="286"/>
      <c r="F12" s="286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s="49" customFormat="1" ht="34.5" customHeight="1" x14ac:dyDescent="0.55000000000000004">
      <c r="A13" s="284" t="s">
        <v>129</v>
      </c>
      <c r="B13" s="54" t="s">
        <v>445</v>
      </c>
      <c r="C13" s="285" t="s">
        <v>123</v>
      </c>
      <c r="D13" s="285" t="s">
        <v>128</v>
      </c>
      <c r="E13" s="286">
        <v>0.5</v>
      </c>
      <c r="F13" s="286">
        <v>0.5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s="49" customFormat="1" ht="34.5" customHeight="1" x14ac:dyDescent="0.55000000000000004">
      <c r="A14" s="284"/>
      <c r="B14" s="55" t="s">
        <v>446</v>
      </c>
      <c r="C14" s="285"/>
      <c r="D14" s="285"/>
      <c r="E14" s="286"/>
      <c r="F14" s="286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s="49" customFormat="1" ht="34.5" customHeight="1" x14ac:dyDescent="0.55000000000000004">
      <c r="A15" s="284" t="s">
        <v>132</v>
      </c>
      <c r="B15" s="211" t="s">
        <v>447</v>
      </c>
      <c r="C15" s="212"/>
      <c r="D15" s="285" t="s">
        <v>128</v>
      </c>
      <c r="E15" s="287">
        <v>0.27627651779171802</v>
      </c>
      <c r="F15" s="287">
        <v>0.27627651779171802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1:16" s="49" customFormat="1" ht="34.5" customHeight="1" x14ac:dyDescent="0.55000000000000004">
      <c r="A16" s="284"/>
      <c r="B16" s="213" t="s">
        <v>448</v>
      </c>
      <c r="C16" s="214"/>
      <c r="D16" s="285"/>
      <c r="E16" s="287"/>
      <c r="F16" s="287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s="49" customFormat="1" ht="34.5" customHeight="1" x14ac:dyDescent="0.55000000000000004">
      <c r="A17" s="284" t="s">
        <v>133</v>
      </c>
      <c r="B17" s="54" t="s">
        <v>449</v>
      </c>
      <c r="C17" s="285" t="s">
        <v>123</v>
      </c>
      <c r="D17" s="285" t="s">
        <v>128</v>
      </c>
      <c r="E17" s="286">
        <v>0.70022371364653246</v>
      </c>
      <c r="F17" s="286">
        <v>0.70022371364653246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s="49" customFormat="1" ht="34.5" customHeight="1" x14ac:dyDescent="0.55000000000000004">
      <c r="A18" s="284"/>
      <c r="B18" s="55" t="s">
        <v>450</v>
      </c>
      <c r="C18" s="285"/>
      <c r="D18" s="285"/>
      <c r="E18" s="286"/>
      <c r="F18" s="286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s="49" customFormat="1" ht="34.5" hidden="1" customHeight="1" x14ac:dyDescent="0.55000000000000004">
      <c r="A19" s="284" t="s">
        <v>134</v>
      </c>
      <c r="B19" s="54" t="s">
        <v>135</v>
      </c>
      <c r="C19" s="285" t="s">
        <v>123</v>
      </c>
      <c r="D19" s="285" t="s">
        <v>136</v>
      </c>
      <c r="E19" s="286" t="s">
        <v>137</v>
      </c>
      <c r="F19" s="286" t="s">
        <v>137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s="49" customFormat="1" ht="34.5" hidden="1" customHeight="1" x14ac:dyDescent="0.55000000000000004">
      <c r="A20" s="284"/>
      <c r="B20" s="55" t="s">
        <v>138</v>
      </c>
      <c r="C20" s="285"/>
      <c r="D20" s="285"/>
      <c r="E20" s="286"/>
      <c r="F20" s="286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s="49" customFormat="1" ht="34.5" customHeight="1" x14ac:dyDescent="0.55000000000000004">
      <c r="A21" s="284" t="s">
        <v>139</v>
      </c>
      <c r="B21" s="54" t="s">
        <v>451</v>
      </c>
      <c r="C21" s="285" t="s">
        <v>123</v>
      </c>
      <c r="D21" s="285" t="s">
        <v>136</v>
      </c>
      <c r="E21" s="286">
        <v>0.6</v>
      </c>
      <c r="F21" s="286">
        <v>0.6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s="49" customFormat="1" ht="34.5" customHeight="1" x14ac:dyDescent="0.55000000000000004">
      <c r="A22" s="284"/>
      <c r="B22" s="55" t="s">
        <v>452</v>
      </c>
      <c r="C22" s="285"/>
      <c r="D22" s="285"/>
      <c r="E22" s="286"/>
      <c r="F22" s="286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s="49" customFormat="1" ht="34.5" customHeight="1" x14ac:dyDescent="0.55000000000000004">
      <c r="A23" s="284" t="s">
        <v>140</v>
      </c>
      <c r="B23" s="54" t="s">
        <v>453</v>
      </c>
      <c r="C23" s="285" t="s">
        <v>123</v>
      </c>
      <c r="D23" s="285" t="s">
        <v>141</v>
      </c>
      <c r="E23" s="286">
        <v>0.4</v>
      </c>
      <c r="F23" s="286">
        <v>0.4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s="49" customFormat="1" ht="34.5" customHeight="1" x14ac:dyDescent="0.55000000000000004">
      <c r="A24" s="284"/>
      <c r="B24" s="55" t="s">
        <v>454</v>
      </c>
      <c r="C24" s="285"/>
      <c r="D24" s="285"/>
      <c r="E24" s="286"/>
      <c r="F24" s="286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s="49" customFormat="1" ht="34.5" hidden="1" customHeight="1" x14ac:dyDescent="0.55000000000000004">
      <c r="A25" s="284" t="s">
        <v>142</v>
      </c>
      <c r="B25" s="54" t="s">
        <v>143</v>
      </c>
      <c r="C25" s="285" t="s">
        <v>123</v>
      </c>
      <c r="D25" s="285" t="s">
        <v>141</v>
      </c>
      <c r="E25" s="286" t="s">
        <v>137</v>
      </c>
      <c r="F25" s="286" t="s">
        <v>137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s="49" customFormat="1" ht="34.5" hidden="1" customHeight="1" x14ac:dyDescent="0.55000000000000004">
      <c r="A26" s="284"/>
      <c r="B26" s="55" t="s">
        <v>130</v>
      </c>
      <c r="C26" s="285"/>
      <c r="D26" s="285"/>
      <c r="E26" s="286"/>
      <c r="F26" s="286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s="49" customFormat="1" ht="34.5" hidden="1" customHeight="1" x14ac:dyDescent="0.55000000000000004">
      <c r="A27" s="284" t="s">
        <v>144</v>
      </c>
      <c r="B27" s="54" t="s">
        <v>145</v>
      </c>
      <c r="C27" s="285" t="s">
        <v>123</v>
      </c>
      <c r="D27" s="285" t="s">
        <v>141</v>
      </c>
      <c r="E27" s="286" t="s">
        <v>137</v>
      </c>
      <c r="F27" s="286" t="s">
        <v>137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s="49" customFormat="1" ht="34.5" hidden="1" customHeight="1" x14ac:dyDescent="0.55000000000000004">
      <c r="A28" s="284"/>
      <c r="B28" s="55" t="s">
        <v>131</v>
      </c>
      <c r="C28" s="285"/>
      <c r="D28" s="285"/>
      <c r="E28" s="286"/>
      <c r="F28" s="286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s="49" customFormat="1" ht="34.5" hidden="1" customHeight="1" x14ac:dyDescent="0.55000000000000004">
      <c r="A29" s="284" t="s">
        <v>146</v>
      </c>
      <c r="B29" s="54" t="s">
        <v>147</v>
      </c>
      <c r="C29" s="285" t="s">
        <v>123</v>
      </c>
      <c r="D29" s="285" t="s">
        <v>141</v>
      </c>
      <c r="E29" s="286" t="s">
        <v>137</v>
      </c>
      <c r="F29" s="286" t="s">
        <v>137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s="49" customFormat="1" ht="34.5" hidden="1" customHeight="1" x14ac:dyDescent="0.55000000000000004">
      <c r="A30" s="284"/>
      <c r="B30" s="55" t="s">
        <v>148</v>
      </c>
      <c r="C30" s="285"/>
      <c r="D30" s="285"/>
      <c r="E30" s="286"/>
      <c r="F30" s="286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s="104" customFormat="1" ht="45" customHeight="1" x14ac:dyDescent="0.55000000000000004">
      <c r="A31" s="105" t="s">
        <v>149</v>
      </c>
      <c r="B31" s="283" t="s">
        <v>118</v>
      </c>
      <c r="C31" s="283"/>
      <c r="D31" s="106" t="s">
        <v>119</v>
      </c>
      <c r="E31" s="106" t="s">
        <v>120</v>
      </c>
      <c r="F31" s="106" t="s">
        <v>121</v>
      </c>
    </row>
    <row r="32" spans="1:16" s="49" customFormat="1" ht="34.5" customHeight="1" x14ac:dyDescent="0.55000000000000004">
      <c r="A32" s="284" t="s">
        <v>150</v>
      </c>
      <c r="B32" s="54" t="s">
        <v>455</v>
      </c>
      <c r="C32" s="285" t="s">
        <v>123</v>
      </c>
      <c r="D32" s="285" t="s">
        <v>151</v>
      </c>
      <c r="E32" s="286">
        <v>1</v>
      </c>
      <c r="F32" s="286">
        <v>1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s="49" customFormat="1" ht="34.5" customHeight="1" x14ac:dyDescent="0.55000000000000004">
      <c r="A33" s="284"/>
      <c r="B33" s="55" t="s">
        <v>456</v>
      </c>
      <c r="C33" s="285"/>
      <c r="D33" s="285"/>
      <c r="E33" s="286"/>
      <c r="F33" s="286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s="49" customFormat="1" ht="34.5" customHeight="1" x14ac:dyDescent="0.55000000000000004">
      <c r="A34" s="284" t="s">
        <v>152</v>
      </c>
      <c r="B34" s="54" t="s">
        <v>457</v>
      </c>
      <c r="C34" s="285" t="s">
        <v>123</v>
      </c>
      <c r="D34" s="285" t="s">
        <v>151</v>
      </c>
      <c r="E34" s="286">
        <v>0.93959731543624159</v>
      </c>
      <c r="F34" s="286">
        <v>0.93959731543624159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s="49" customFormat="1" ht="34.5" customHeight="1" x14ac:dyDescent="0.55000000000000004">
      <c r="A35" s="284"/>
      <c r="B35" s="55" t="s">
        <v>458</v>
      </c>
      <c r="C35" s="285"/>
      <c r="D35" s="285"/>
      <c r="E35" s="286"/>
      <c r="F35" s="286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s="49" customFormat="1" ht="34.5" hidden="1" customHeight="1" x14ac:dyDescent="0.55000000000000004">
      <c r="A36" s="284" t="s">
        <v>153</v>
      </c>
      <c r="B36" s="54" t="s">
        <v>154</v>
      </c>
      <c r="C36" s="285" t="s">
        <v>123</v>
      </c>
      <c r="D36" s="285" t="s">
        <v>151</v>
      </c>
      <c r="E36" s="286" t="s">
        <v>155</v>
      </c>
      <c r="F36" s="286" t="s">
        <v>155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s="49" customFormat="1" ht="34.5" hidden="1" customHeight="1" x14ac:dyDescent="0.55000000000000004">
      <c r="A37" s="284"/>
      <c r="B37" s="55" t="s">
        <v>156</v>
      </c>
      <c r="C37" s="285"/>
      <c r="D37" s="285"/>
      <c r="E37" s="286"/>
      <c r="F37" s="286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49" customFormat="1" ht="45" customHeight="1" x14ac:dyDescent="0.55000000000000004">
      <c r="A38" s="105" t="s">
        <v>97</v>
      </c>
      <c r="B38" s="283" t="s">
        <v>118</v>
      </c>
      <c r="C38" s="283"/>
      <c r="D38" s="106" t="s">
        <v>119</v>
      </c>
      <c r="E38" s="106" t="s">
        <v>120</v>
      </c>
      <c r="F38" s="106" t="s">
        <v>121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s="49" customFormat="1" ht="34.5" customHeight="1" x14ac:dyDescent="0.55000000000000004">
      <c r="A39" s="288" t="s">
        <v>157</v>
      </c>
      <c r="B39" s="56" t="s">
        <v>158</v>
      </c>
      <c r="C39" s="285" t="s">
        <v>123</v>
      </c>
      <c r="D39" s="289" t="s">
        <v>159</v>
      </c>
      <c r="E39" s="286">
        <v>1</v>
      </c>
      <c r="F39" s="286">
        <v>1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s="49" customFormat="1" ht="34.5" customHeight="1" x14ac:dyDescent="0.55000000000000004">
      <c r="A40" s="288"/>
      <c r="B40" s="57" t="s">
        <v>160</v>
      </c>
      <c r="C40" s="285"/>
      <c r="D40" s="289"/>
      <c r="E40" s="286"/>
      <c r="F40" s="286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s="49" customFormat="1" ht="34.5" customHeight="1" x14ac:dyDescent="0.55000000000000004">
      <c r="A41" s="288" t="s">
        <v>161</v>
      </c>
      <c r="B41" s="56" t="s">
        <v>459</v>
      </c>
      <c r="C41" s="285" t="s">
        <v>123</v>
      </c>
      <c r="D41" s="289" t="s">
        <v>136</v>
      </c>
      <c r="E41" s="286">
        <v>0.6</v>
      </c>
      <c r="F41" s="286">
        <v>0.6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s="49" customFormat="1" ht="34.5" customHeight="1" x14ac:dyDescent="0.55000000000000004">
      <c r="A42" s="288"/>
      <c r="B42" s="57" t="s">
        <v>460</v>
      </c>
      <c r="C42" s="285"/>
      <c r="D42" s="289"/>
      <c r="E42" s="286"/>
      <c r="F42" s="286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s="49" customFormat="1" ht="34.5" customHeight="1" x14ac:dyDescent="0.55000000000000004">
      <c r="A43" s="288" t="s">
        <v>162</v>
      </c>
      <c r="B43" s="290" t="s">
        <v>461</v>
      </c>
      <c r="C43" s="290"/>
      <c r="D43" s="289" t="s">
        <v>136</v>
      </c>
      <c r="E43" s="291">
        <v>9.0277777777777786</v>
      </c>
      <c r="F43" s="291">
        <v>9.0277777777777786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s="49" customFormat="1" ht="34.5" customHeight="1" x14ac:dyDescent="0.55000000000000004">
      <c r="A44" s="288"/>
      <c r="B44" s="292" t="s">
        <v>462</v>
      </c>
      <c r="C44" s="292"/>
      <c r="D44" s="289"/>
      <c r="E44" s="291"/>
      <c r="F44" s="291"/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 s="49" customFormat="1" ht="34.5" customHeight="1" x14ac:dyDescent="0.55000000000000004">
      <c r="A45" s="288" t="s">
        <v>163</v>
      </c>
      <c r="B45" s="56" t="s">
        <v>463</v>
      </c>
      <c r="C45" s="293" t="s">
        <v>123</v>
      </c>
      <c r="D45" s="289" t="s">
        <v>136</v>
      </c>
      <c r="E45" s="286">
        <v>0.6720686367969495</v>
      </c>
      <c r="F45" s="286">
        <v>0.6720686367969495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</row>
    <row r="46" spans="1:16" ht="34.5" customHeight="1" x14ac:dyDescent="0.55000000000000004">
      <c r="A46" s="288"/>
      <c r="B46" s="57" t="s">
        <v>464</v>
      </c>
      <c r="C46" s="293"/>
      <c r="D46" s="289"/>
      <c r="E46" s="286"/>
      <c r="F46" s="286"/>
    </row>
    <row r="47" spans="1:16" s="49" customFormat="1" ht="45" customHeight="1" x14ac:dyDescent="0.55000000000000004">
      <c r="A47" s="105" t="s">
        <v>164</v>
      </c>
      <c r="B47" s="283" t="s">
        <v>118</v>
      </c>
      <c r="C47" s="283"/>
      <c r="D47" s="106" t="s">
        <v>119</v>
      </c>
      <c r="E47" s="106" t="s">
        <v>120</v>
      </c>
      <c r="F47" s="106" t="s">
        <v>121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ht="53.25" customHeight="1" x14ac:dyDescent="0.55000000000000004">
      <c r="A48" s="58" t="s">
        <v>165</v>
      </c>
      <c r="B48" s="294" t="s">
        <v>166</v>
      </c>
      <c r="C48" s="294"/>
      <c r="D48" s="59" t="s">
        <v>124</v>
      </c>
      <c r="E48" s="168">
        <v>10</v>
      </c>
      <c r="F48" s="168">
        <v>10</v>
      </c>
    </row>
    <row r="49" spans="1:16" s="49" customFormat="1" ht="45" customHeight="1" x14ac:dyDescent="0.55000000000000004">
      <c r="A49" s="105" t="s">
        <v>167</v>
      </c>
      <c r="B49" s="283" t="s">
        <v>118</v>
      </c>
      <c r="C49" s="283"/>
      <c r="D49" s="106" t="s">
        <v>119</v>
      </c>
      <c r="E49" s="106" t="s">
        <v>120</v>
      </c>
      <c r="F49" s="106" t="s">
        <v>121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</row>
    <row r="50" spans="1:16" ht="34.5" hidden="1" customHeight="1" x14ac:dyDescent="0.55000000000000004">
      <c r="A50" s="288" t="s">
        <v>168</v>
      </c>
      <c r="B50" s="56" t="s">
        <v>169</v>
      </c>
      <c r="C50" s="293" t="s">
        <v>123</v>
      </c>
      <c r="D50" s="293" t="s">
        <v>124</v>
      </c>
      <c r="E50" s="286" t="s">
        <v>155</v>
      </c>
      <c r="F50" s="286" t="s">
        <v>155</v>
      </c>
    </row>
    <row r="51" spans="1:16" ht="34.5" hidden="1" customHeight="1" x14ac:dyDescent="0.55000000000000004">
      <c r="A51" s="288"/>
      <c r="B51" s="57" t="s">
        <v>125</v>
      </c>
      <c r="C51" s="293"/>
      <c r="D51" s="293"/>
      <c r="E51" s="286"/>
      <c r="F51" s="286"/>
    </row>
    <row r="52" spans="1:16" ht="34.5" customHeight="1" x14ac:dyDescent="0.55000000000000004">
      <c r="A52" s="288" t="s">
        <v>170</v>
      </c>
      <c r="B52" s="56" t="s">
        <v>465</v>
      </c>
      <c r="C52" s="293" t="s">
        <v>123</v>
      </c>
      <c r="D52" s="293" t="s">
        <v>124</v>
      </c>
      <c r="E52" s="286">
        <v>1.0550996483001172E-2</v>
      </c>
      <c r="F52" s="286">
        <v>1.0550996483001172E-2</v>
      </c>
    </row>
    <row r="53" spans="1:16" ht="34.5" customHeight="1" x14ac:dyDescent="0.55000000000000004">
      <c r="A53" s="288"/>
      <c r="B53" s="57" t="s">
        <v>442</v>
      </c>
      <c r="C53" s="293"/>
      <c r="D53" s="293"/>
      <c r="E53" s="286"/>
      <c r="F53" s="286"/>
    </row>
    <row r="54" spans="1:16" s="107" customFormat="1" ht="45" customHeight="1" x14ac:dyDescent="0.55000000000000004">
      <c r="A54" s="105" t="s">
        <v>106</v>
      </c>
      <c r="B54" s="283" t="s">
        <v>118</v>
      </c>
      <c r="C54" s="283"/>
      <c r="D54" s="106" t="s">
        <v>119</v>
      </c>
      <c r="E54" s="106" t="s">
        <v>120</v>
      </c>
      <c r="F54" s="106" t="s">
        <v>121</v>
      </c>
    </row>
    <row r="55" spans="1:16" s="49" customFormat="1" ht="34.5" customHeight="1" x14ac:dyDescent="0.55000000000000004">
      <c r="A55" s="60" t="s">
        <v>171</v>
      </c>
      <c r="B55" s="293" t="s">
        <v>172</v>
      </c>
      <c r="C55" s="293"/>
      <c r="D55" s="61" t="s">
        <v>128</v>
      </c>
      <c r="E55" s="66">
        <v>170000</v>
      </c>
      <c r="F55" s="66">
        <v>170000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s="49" customFormat="1" ht="34.5" customHeight="1" x14ac:dyDescent="0.55000000000000004">
      <c r="A56" s="288" t="s">
        <v>173</v>
      </c>
      <c r="B56" s="56" t="s">
        <v>466</v>
      </c>
      <c r="C56" s="293" t="s">
        <v>123</v>
      </c>
      <c r="D56" s="293" t="s">
        <v>151</v>
      </c>
      <c r="E56" s="286">
        <v>7.0000000000000007E-2</v>
      </c>
      <c r="F56" s="286">
        <v>7.0000000000000007E-2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s="49" customFormat="1" ht="34.5" customHeight="1" x14ac:dyDescent="0.55000000000000004">
      <c r="A57" s="288"/>
      <c r="B57" s="57" t="s">
        <v>467</v>
      </c>
      <c r="C57" s="293"/>
      <c r="D57" s="293"/>
      <c r="E57" s="286"/>
      <c r="F57" s="286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1:16" s="49" customFormat="1" ht="34.5" customHeight="1" x14ac:dyDescent="0.55000000000000004">
      <c r="A58" s="288" t="s">
        <v>174</v>
      </c>
      <c r="B58" s="56" t="s">
        <v>468</v>
      </c>
      <c r="C58" s="293" t="s">
        <v>123</v>
      </c>
      <c r="D58" s="293" t="s">
        <v>151</v>
      </c>
      <c r="E58" s="286">
        <v>0.93333333333333335</v>
      </c>
      <c r="F58" s="286">
        <v>0.93333333333333335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s="49" customFormat="1" ht="34.5" customHeight="1" x14ac:dyDescent="0.55000000000000004">
      <c r="A59" s="288"/>
      <c r="B59" s="57" t="s">
        <v>469</v>
      </c>
      <c r="C59" s="293"/>
      <c r="D59" s="293"/>
      <c r="E59" s="286"/>
      <c r="F59" s="286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s="49" customFormat="1" ht="34.5" customHeight="1" x14ac:dyDescent="0.55000000000000004">
      <c r="A60" s="60" t="s">
        <v>175</v>
      </c>
      <c r="B60" s="293" t="s">
        <v>176</v>
      </c>
      <c r="C60" s="293"/>
      <c r="D60" s="61" t="s">
        <v>136</v>
      </c>
      <c r="E60" s="66">
        <v>500000</v>
      </c>
      <c r="F60" s="66">
        <v>500000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</row>
    <row r="61" spans="1:16" s="49" customFormat="1" ht="45" customHeight="1" x14ac:dyDescent="0.55000000000000004">
      <c r="A61" s="105" t="s">
        <v>107</v>
      </c>
      <c r="B61" s="283" t="s">
        <v>118</v>
      </c>
      <c r="C61" s="283"/>
      <c r="D61" s="106" t="s">
        <v>119</v>
      </c>
      <c r="E61" s="106" t="s">
        <v>120</v>
      </c>
      <c r="F61" s="106" t="s">
        <v>121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s="49" customFormat="1" ht="34.5" hidden="1" customHeight="1" x14ac:dyDescent="0.55000000000000004">
      <c r="A62" s="295" t="s">
        <v>177</v>
      </c>
      <c r="B62" s="62" t="s">
        <v>178</v>
      </c>
      <c r="C62" s="293" t="s">
        <v>123</v>
      </c>
      <c r="D62" s="293" t="s">
        <v>124</v>
      </c>
      <c r="E62" s="296" t="s">
        <v>155</v>
      </c>
      <c r="F62" s="296" t="s">
        <v>155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s="49" customFormat="1" ht="34.5" hidden="1" customHeight="1" x14ac:dyDescent="0.55000000000000004">
      <c r="A63" s="295"/>
      <c r="B63" s="63" t="s">
        <v>179</v>
      </c>
      <c r="C63" s="293"/>
      <c r="D63" s="293"/>
      <c r="E63" s="297"/>
      <c r="F63" s="297"/>
      <c r="G63" s="48"/>
      <c r="H63" s="48"/>
      <c r="I63" s="48"/>
      <c r="J63" s="48"/>
      <c r="K63" s="48"/>
      <c r="L63" s="48"/>
      <c r="M63" s="48"/>
      <c r="N63" s="48"/>
      <c r="O63" s="48"/>
      <c r="P63" s="48"/>
    </row>
    <row r="64" spans="1:16" s="49" customFormat="1" ht="34.5" customHeight="1" x14ac:dyDescent="0.55000000000000004">
      <c r="A64" s="299" t="s">
        <v>180</v>
      </c>
      <c r="B64" s="64" t="s">
        <v>470</v>
      </c>
      <c r="C64" s="293" t="s">
        <v>123</v>
      </c>
      <c r="D64" s="293" t="s">
        <v>124</v>
      </c>
      <c r="E64" s="296">
        <v>0.22916666666666666</v>
      </c>
      <c r="F64" s="296">
        <v>0.22916666666666666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</row>
    <row r="65" spans="1:16" s="49" customFormat="1" ht="34.5" customHeight="1" x14ac:dyDescent="0.55000000000000004">
      <c r="A65" s="299"/>
      <c r="B65" s="65" t="s">
        <v>471</v>
      </c>
      <c r="C65" s="293"/>
      <c r="D65" s="293"/>
      <c r="E65" s="297"/>
      <c r="F65" s="297"/>
      <c r="G65" s="48"/>
      <c r="H65" s="48"/>
      <c r="I65" s="48"/>
      <c r="J65" s="48"/>
      <c r="K65" s="48"/>
      <c r="L65" s="48"/>
      <c r="M65" s="48"/>
      <c r="N65" s="48"/>
      <c r="O65" s="48"/>
      <c r="P65" s="48"/>
    </row>
    <row r="66" spans="1:16" s="49" customFormat="1" ht="34.5" customHeight="1" x14ac:dyDescent="0.55000000000000004">
      <c r="A66" s="288" t="s">
        <v>181</v>
      </c>
      <c r="B66" s="290" t="s">
        <v>472</v>
      </c>
      <c r="C66" s="290"/>
      <c r="D66" s="293" t="s">
        <v>136</v>
      </c>
      <c r="E66" s="300">
        <v>0.77458904109589044</v>
      </c>
      <c r="F66" s="300">
        <v>0.77458904109589044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s="49" customFormat="1" ht="34.5" customHeight="1" x14ac:dyDescent="0.55000000000000004">
      <c r="A67" s="288"/>
      <c r="B67" s="292" t="s">
        <v>473</v>
      </c>
      <c r="C67" s="292"/>
      <c r="D67" s="293"/>
      <c r="E67" s="301"/>
      <c r="F67" s="301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s="104" customFormat="1" ht="45" customHeight="1" x14ac:dyDescent="0.55000000000000004">
      <c r="A68" s="105" t="s">
        <v>108</v>
      </c>
      <c r="B68" s="283" t="s">
        <v>118</v>
      </c>
      <c r="C68" s="283"/>
      <c r="D68" s="106" t="s">
        <v>119</v>
      </c>
      <c r="E68" s="106" t="s">
        <v>120</v>
      </c>
      <c r="F68" s="106" t="s">
        <v>121</v>
      </c>
    </row>
    <row r="69" spans="1:16" s="49" customFormat="1" ht="34.5" customHeight="1" x14ac:dyDescent="0.55000000000000004">
      <c r="A69" s="288" t="s">
        <v>182</v>
      </c>
      <c r="B69" s="290" t="s">
        <v>510</v>
      </c>
      <c r="C69" s="290"/>
      <c r="D69" s="293" t="s">
        <v>151</v>
      </c>
      <c r="E69" s="302">
        <v>3.0106066016389144</v>
      </c>
      <c r="F69" s="298">
        <v>3.1110023517534051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</row>
    <row r="70" spans="1:16" s="49" customFormat="1" ht="34.5" customHeight="1" x14ac:dyDescent="0.55000000000000004">
      <c r="A70" s="288"/>
      <c r="B70" s="292" t="s">
        <v>475</v>
      </c>
      <c r="C70" s="292"/>
      <c r="D70" s="293"/>
      <c r="E70" s="302"/>
      <c r="F70" s="298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s="49" customFormat="1" ht="34.5" customHeight="1" x14ac:dyDescent="0.55000000000000004">
      <c r="A71" s="288" t="s">
        <v>183</v>
      </c>
      <c r="B71" s="56" t="s">
        <v>476</v>
      </c>
      <c r="C71" s="293" t="s">
        <v>123</v>
      </c>
      <c r="D71" s="293" t="s">
        <v>151</v>
      </c>
      <c r="E71" s="286">
        <v>2.3999741242682018E-2</v>
      </c>
      <c r="F71" s="286">
        <v>2.3999741242682018E-2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1:16" ht="34.5" customHeight="1" x14ac:dyDescent="0.55000000000000004">
      <c r="A72" s="288"/>
      <c r="B72" s="57" t="s">
        <v>474</v>
      </c>
      <c r="C72" s="293"/>
      <c r="D72" s="293"/>
      <c r="E72" s="286"/>
      <c r="F72" s="286"/>
    </row>
    <row r="73" spans="1:16" s="49" customFormat="1" ht="34.5" customHeight="1" x14ac:dyDescent="0.55000000000000004">
      <c r="A73" s="288" t="s">
        <v>184</v>
      </c>
      <c r="B73" s="56" t="s">
        <v>477</v>
      </c>
      <c r="C73" s="293" t="s">
        <v>123</v>
      </c>
      <c r="D73" s="293" t="s">
        <v>151</v>
      </c>
      <c r="E73" s="286">
        <v>2.0053692143480934E-3</v>
      </c>
      <c r="F73" s="286">
        <v>2.0053692143480934E-3</v>
      </c>
    </row>
    <row r="74" spans="1:16" s="49" customFormat="1" ht="34.5" customHeight="1" x14ac:dyDescent="0.55000000000000004">
      <c r="A74" s="288"/>
      <c r="B74" s="57" t="s">
        <v>474</v>
      </c>
      <c r="C74" s="293"/>
      <c r="D74" s="293"/>
      <c r="E74" s="286"/>
      <c r="F74" s="286"/>
    </row>
    <row r="75" spans="1:16" s="49" customFormat="1" ht="45" customHeight="1" x14ac:dyDescent="0.55000000000000004">
      <c r="A75" s="105" t="s">
        <v>109</v>
      </c>
      <c r="B75" s="283" t="s">
        <v>118</v>
      </c>
      <c r="C75" s="283"/>
      <c r="D75" s="106" t="s">
        <v>119</v>
      </c>
      <c r="E75" s="106" t="s">
        <v>120</v>
      </c>
      <c r="F75" s="106" t="s">
        <v>121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</row>
    <row r="76" spans="1:16" ht="34.5" customHeight="1" x14ac:dyDescent="0.55000000000000004">
      <c r="A76" s="288" t="s">
        <v>185</v>
      </c>
      <c r="B76" s="290" t="s">
        <v>489</v>
      </c>
      <c r="C76" s="290"/>
      <c r="D76" s="293" t="s">
        <v>136</v>
      </c>
      <c r="E76" s="303">
        <v>811.45642056726172</v>
      </c>
      <c r="F76" s="303">
        <v>808.06043714446787</v>
      </c>
    </row>
    <row r="77" spans="1:16" ht="34.5" customHeight="1" x14ac:dyDescent="0.55000000000000004">
      <c r="A77" s="288"/>
      <c r="B77" s="292" t="s">
        <v>490</v>
      </c>
      <c r="C77" s="292"/>
      <c r="D77" s="293"/>
      <c r="E77" s="303"/>
      <c r="F77" s="303"/>
    </row>
    <row r="78" spans="1:16" ht="34.5" customHeight="1" x14ac:dyDescent="0.55000000000000004">
      <c r="A78" s="288" t="s">
        <v>186</v>
      </c>
      <c r="B78" s="56" t="s">
        <v>492</v>
      </c>
      <c r="C78" s="293" t="s">
        <v>123</v>
      </c>
      <c r="D78" s="293" t="s">
        <v>187</v>
      </c>
      <c r="E78" s="286">
        <v>0.58067230841334116</v>
      </c>
      <c r="F78" s="286">
        <v>0.61807456798800964</v>
      </c>
    </row>
    <row r="79" spans="1:16" ht="34.5" customHeight="1" x14ac:dyDescent="0.55000000000000004">
      <c r="A79" s="288"/>
      <c r="B79" s="57" t="s">
        <v>489</v>
      </c>
      <c r="C79" s="293"/>
      <c r="D79" s="293"/>
      <c r="E79" s="286"/>
      <c r="F79" s="286"/>
    </row>
    <row r="80" spans="1:16" ht="34.5" customHeight="1" x14ac:dyDescent="0.55000000000000004">
      <c r="A80" s="288" t="s">
        <v>188</v>
      </c>
      <c r="B80" s="290" t="s">
        <v>496</v>
      </c>
      <c r="C80" s="290"/>
      <c r="D80" s="293" t="s">
        <v>136</v>
      </c>
      <c r="E80" s="302">
        <v>28.679236604256992</v>
      </c>
      <c r="F80" s="302">
        <v>19.70930817172724</v>
      </c>
    </row>
    <row r="81" spans="1:16" ht="34.5" customHeight="1" x14ac:dyDescent="0.55000000000000004">
      <c r="A81" s="288"/>
      <c r="B81" s="292" t="s">
        <v>491</v>
      </c>
      <c r="C81" s="292"/>
      <c r="D81" s="293"/>
      <c r="E81" s="302"/>
      <c r="F81" s="302"/>
    </row>
    <row r="82" spans="1:16" ht="34.5" customHeight="1" x14ac:dyDescent="0.55000000000000004">
      <c r="A82" s="288" t="s">
        <v>189</v>
      </c>
      <c r="B82" s="56" t="s">
        <v>493</v>
      </c>
      <c r="C82" s="293" t="s">
        <v>123</v>
      </c>
      <c r="D82" s="293" t="s">
        <v>141</v>
      </c>
      <c r="E82" s="286">
        <v>0.24899469197362073</v>
      </c>
      <c r="F82" s="286">
        <v>0.28899999999999998</v>
      </c>
    </row>
    <row r="83" spans="1:16" s="49" customFormat="1" ht="34.5" customHeight="1" x14ac:dyDescent="0.55000000000000004">
      <c r="A83" s="288"/>
      <c r="B83" s="57" t="s">
        <v>490</v>
      </c>
      <c r="C83" s="293"/>
      <c r="D83" s="293"/>
      <c r="E83" s="286"/>
      <c r="F83" s="286"/>
      <c r="G83" s="48"/>
      <c r="H83" s="48"/>
      <c r="I83" s="48"/>
      <c r="J83" s="48"/>
      <c r="K83" s="48"/>
      <c r="L83" s="48"/>
      <c r="M83" s="48"/>
      <c r="N83" s="48"/>
      <c r="O83" s="48"/>
      <c r="P83" s="48"/>
    </row>
    <row r="84" spans="1:16" s="49" customFormat="1" ht="34.5" customHeight="1" x14ac:dyDescent="0.55000000000000004">
      <c r="A84" s="288" t="s">
        <v>190</v>
      </c>
      <c r="B84" s="56" t="s">
        <v>495</v>
      </c>
      <c r="C84" s="293" t="s">
        <v>123</v>
      </c>
      <c r="D84" s="293" t="s">
        <v>141</v>
      </c>
      <c r="E84" s="286">
        <v>0.41179078014184395</v>
      </c>
      <c r="F84" s="286">
        <v>0.45400000000000001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1:16" s="49" customFormat="1" ht="34.5" customHeight="1" x14ac:dyDescent="0.55000000000000004">
      <c r="A85" s="288"/>
      <c r="B85" s="57" t="s">
        <v>494</v>
      </c>
      <c r="C85" s="293"/>
      <c r="D85" s="293"/>
      <c r="E85" s="286"/>
      <c r="F85" s="286"/>
      <c r="G85" s="48"/>
      <c r="H85" s="48"/>
      <c r="I85" s="48"/>
      <c r="J85" s="48"/>
      <c r="K85" s="48"/>
      <c r="L85" s="48"/>
      <c r="M85" s="48"/>
      <c r="N85" s="48"/>
      <c r="O85" s="48"/>
      <c r="P85" s="48"/>
    </row>
    <row r="86" spans="1:16" s="49" customFormat="1" ht="45" customHeight="1" x14ac:dyDescent="0.55000000000000004">
      <c r="A86" s="105" t="s">
        <v>99</v>
      </c>
      <c r="B86" s="283" t="s">
        <v>118</v>
      </c>
      <c r="C86" s="283"/>
      <c r="D86" s="106" t="s">
        <v>119</v>
      </c>
      <c r="E86" s="106" t="s">
        <v>120</v>
      </c>
      <c r="F86" s="106" t="s">
        <v>121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</row>
    <row r="87" spans="1:16" s="49" customFormat="1" ht="34.5" customHeight="1" x14ac:dyDescent="0.55000000000000004">
      <c r="A87" s="288" t="s">
        <v>191</v>
      </c>
      <c r="B87" s="56" t="s">
        <v>478</v>
      </c>
      <c r="C87" s="293" t="s">
        <v>123</v>
      </c>
      <c r="D87" s="293" t="s">
        <v>187</v>
      </c>
      <c r="E87" s="286">
        <v>1</v>
      </c>
      <c r="F87" s="286">
        <v>1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</row>
    <row r="88" spans="1:16" s="49" customFormat="1" ht="34.5" customHeight="1" x14ac:dyDescent="0.55000000000000004">
      <c r="A88" s="288"/>
      <c r="B88" s="57" t="s">
        <v>479</v>
      </c>
      <c r="C88" s="293"/>
      <c r="D88" s="293"/>
      <c r="E88" s="286"/>
      <c r="F88" s="286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6" s="49" customFormat="1" ht="34.5" customHeight="1" x14ac:dyDescent="0.55000000000000004">
      <c r="A89" s="288" t="s">
        <v>192</v>
      </c>
      <c r="B89" s="56" t="s">
        <v>480</v>
      </c>
      <c r="C89" s="293" t="s">
        <v>123</v>
      </c>
      <c r="D89" s="293" t="s">
        <v>187</v>
      </c>
      <c r="E89" s="286">
        <v>0.71641791044776115</v>
      </c>
      <c r="F89" s="286">
        <v>0.71641791044776115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</row>
    <row r="90" spans="1:16" s="49" customFormat="1" ht="34.5" customHeight="1" x14ac:dyDescent="0.55000000000000004">
      <c r="A90" s="288"/>
      <c r="B90" s="57" t="s">
        <v>479</v>
      </c>
      <c r="C90" s="293"/>
      <c r="D90" s="293"/>
      <c r="E90" s="286"/>
      <c r="F90" s="286"/>
      <c r="G90" s="48"/>
      <c r="H90" s="48"/>
      <c r="I90" s="48"/>
      <c r="J90" s="48"/>
      <c r="K90" s="48"/>
      <c r="L90" s="48"/>
      <c r="M90" s="48"/>
      <c r="N90" s="48"/>
      <c r="O90" s="48"/>
      <c r="P90" s="48"/>
    </row>
    <row r="91" spans="1:16" s="49" customFormat="1" ht="34.5" hidden="1" customHeight="1" x14ac:dyDescent="0.55000000000000004">
      <c r="A91" s="288" t="s">
        <v>194</v>
      </c>
      <c r="B91" s="56" t="s">
        <v>195</v>
      </c>
      <c r="C91" s="293" t="s">
        <v>123</v>
      </c>
      <c r="D91" s="293" t="s">
        <v>187</v>
      </c>
      <c r="E91" s="286" t="s">
        <v>155</v>
      </c>
      <c r="F91" s="286" t="s">
        <v>155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</row>
    <row r="92" spans="1:16" s="49" customFormat="1" ht="34.5" hidden="1" customHeight="1" x14ac:dyDescent="0.55000000000000004">
      <c r="A92" s="288"/>
      <c r="B92" s="57" t="s">
        <v>193</v>
      </c>
      <c r="C92" s="293"/>
      <c r="D92" s="293"/>
      <c r="E92" s="286"/>
      <c r="F92" s="286"/>
      <c r="G92" s="48"/>
      <c r="H92" s="48"/>
      <c r="I92" s="48"/>
      <c r="J92" s="48"/>
      <c r="K92" s="48"/>
      <c r="L92" s="48"/>
      <c r="M92" s="48"/>
      <c r="N92" s="48"/>
      <c r="O92" s="48"/>
      <c r="P92" s="48"/>
    </row>
    <row r="93" spans="1:16" s="49" customFormat="1" ht="45" customHeight="1" x14ac:dyDescent="0.55000000000000004">
      <c r="A93" s="105" t="s">
        <v>111</v>
      </c>
      <c r="B93" s="283" t="s">
        <v>118</v>
      </c>
      <c r="C93" s="283"/>
      <c r="D93" s="106" t="s">
        <v>119</v>
      </c>
      <c r="E93" s="106" t="s">
        <v>120</v>
      </c>
      <c r="F93" s="106" t="s">
        <v>121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</row>
    <row r="94" spans="1:16" s="49" customFormat="1" ht="34.5" customHeight="1" x14ac:dyDescent="0.55000000000000004">
      <c r="A94" s="288" t="s">
        <v>196</v>
      </c>
      <c r="B94" s="290" t="s">
        <v>481</v>
      </c>
      <c r="C94" s="290"/>
      <c r="D94" s="293" t="s">
        <v>124</v>
      </c>
      <c r="E94" s="302">
        <v>31.55</v>
      </c>
      <c r="F94" s="302">
        <v>31.55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</row>
    <row r="95" spans="1:16" s="49" customFormat="1" ht="34.5" customHeight="1" x14ac:dyDescent="0.55000000000000004">
      <c r="A95" s="288"/>
      <c r="B95" s="292" t="s">
        <v>482</v>
      </c>
      <c r="C95" s="292"/>
      <c r="D95" s="293"/>
      <c r="E95" s="302"/>
      <c r="F95" s="302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s="49" customFormat="1" ht="45" customHeight="1" x14ac:dyDescent="0.55000000000000004">
      <c r="A96" s="105" t="s">
        <v>112</v>
      </c>
      <c r="B96" s="283" t="s">
        <v>118</v>
      </c>
      <c r="C96" s="283"/>
      <c r="D96" s="106" t="s">
        <v>119</v>
      </c>
      <c r="E96" s="106" t="s">
        <v>120</v>
      </c>
      <c r="F96" s="106" t="s">
        <v>121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s="49" customFormat="1" ht="34.5" customHeight="1" x14ac:dyDescent="0.55000000000000004">
      <c r="A97" s="60" t="s">
        <v>197</v>
      </c>
      <c r="B97" s="293" t="s">
        <v>198</v>
      </c>
      <c r="C97" s="293"/>
      <c r="D97" s="61" t="s">
        <v>124</v>
      </c>
      <c r="E97" s="66">
        <v>19</v>
      </c>
      <c r="F97" s="66">
        <v>19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s="49" customFormat="1" ht="34.5" customHeight="1" x14ac:dyDescent="0.55000000000000004">
      <c r="A98" s="288" t="s">
        <v>199</v>
      </c>
      <c r="B98" s="56" t="s">
        <v>483</v>
      </c>
      <c r="C98" s="289" t="s">
        <v>123</v>
      </c>
      <c r="D98" s="293" t="s">
        <v>136</v>
      </c>
      <c r="E98" s="286">
        <v>0.65217391304347827</v>
      </c>
      <c r="F98" s="286">
        <v>0.65217391304347827</v>
      </c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s="49" customFormat="1" ht="34.5" customHeight="1" x14ac:dyDescent="0.55000000000000004">
      <c r="A99" s="288"/>
      <c r="B99" s="57" t="s">
        <v>484</v>
      </c>
      <c r="C99" s="289"/>
      <c r="D99" s="293"/>
      <c r="E99" s="286"/>
      <c r="F99" s="286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s="49" customFormat="1" ht="45" customHeight="1" x14ac:dyDescent="0.55000000000000004">
      <c r="A100" s="105" t="s">
        <v>113</v>
      </c>
      <c r="B100" s="283" t="s">
        <v>118</v>
      </c>
      <c r="C100" s="283"/>
      <c r="D100" s="106" t="s">
        <v>119</v>
      </c>
      <c r="E100" s="106" t="s">
        <v>120</v>
      </c>
      <c r="F100" s="106" t="s">
        <v>121</v>
      </c>
      <c r="G100" s="48"/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6" s="49" customFormat="1" ht="34.5" customHeight="1" x14ac:dyDescent="0.55000000000000004">
      <c r="A101" s="288" t="s">
        <v>200</v>
      </c>
      <c r="B101" s="56" t="s">
        <v>485</v>
      </c>
      <c r="C101" s="289" t="s">
        <v>123</v>
      </c>
      <c r="D101" s="293" t="s">
        <v>136</v>
      </c>
      <c r="E101" s="286">
        <v>0.8</v>
      </c>
      <c r="F101" s="286">
        <v>0.8</v>
      </c>
      <c r="G101" s="48"/>
      <c r="H101" s="48"/>
      <c r="I101" s="48"/>
      <c r="J101" s="48"/>
      <c r="K101" s="48"/>
      <c r="L101" s="48"/>
      <c r="M101" s="48"/>
      <c r="N101" s="48"/>
      <c r="O101" s="48"/>
      <c r="P101" s="48"/>
    </row>
    <row r="102" spans="1:16" ht="34.5" customHeight="1" x14ac:dyDescent="0.55000000000000004">
      <c r="A102" s="288"/>
      <c r="B102" s="67" t="s">
        <v>486</v>
      </c>
      <c r="C102" s="289"/>
      <c r="D102" s="293"/>
      <c r="E102" s="286"/>
      <c r="F102" s="286"/>
    </row>
    <row r="103" spans="1:16" ht="34.5" customHeight="1" x14ac:dyDescent="0.55000000000000004">
      <c r="A103" s="288" t="s">
        <v>201</v>
      </c>
      <c r="B103" s="56" t="s">
        <v>487</v>
      </c>
      <c r="C103" s="289" t="s">
        <v>123</v>
      </c>
      <c r="D103" s="293" t="s">
        <v>187</v>
      </c>
      <c r="E103" s="286">
        <v>0.91387024608501122</v>
      </c>
      <c r="F103" s="286">
        <v>0.91387024608501122</v>
      </c>
    </row>
    <row r="104" spans="1:16" ht="34.5" customHeight="1" x14ac:dyDescent="0.55000000000000004">
      <c r="A104" s="288"/>
      <c r="B104" s="67" t="s">
        <v>488</v>
      </c>
      <c r="C104" s="289"/>
      <c r="D104" s="293"/>
      <c r="E104" s="286"/>
      <c r="F104" s="286"/>
    </row>
    <row r="106" spans="1:16" hidden="1" x14ac:dyDescent="0.55000000000000004">
      <c r="A106" s="72" t="s">
        <v>202</v>
      </c>
    </row>
    <row r="107" spans="1:16" hidden="1" x14ac:dyDescent="0.55000000000000004">
      <c r="A107" s="73"/>
    </row>
    <row r="108" spans="1:16" hidden="1" x14ac:dyDescent="0.55000000000000004">
      <c r="A108" s="73"/>
    </row>
    <row r="109" spans="1:16" hidden="1" x14ac:dyDescent="0.55000000000000004">
      <c r="A109" s="73"/>
    </row>
    <row r="110" spans="1:16" hidden="1" x14ac:dyDescent="0.55000000000000004">
      <c r="A110" s="73"/>
    </row>
    <row r="111" spans="1:16" hidden="1" x14ac:dyDescent="0.55000000000000004">
      <c r="A111" s="73"/>
    </row>
    <row r="112" spans="1:16" hidden="1" x14ac:dyDescent="0.55000000000000004">
      <c r="A112" s="73"/>
    </row>
    <row r="113" spans="1:1" hidden="1" x14ac:dyDescent="0.55000000000000004">
      <c r="A113" s="73"/>
    </row>
    <row r="114" spans="1:1" hidden="1" x14ac:dyDescent="0.55000000000000004">
      <c r="A114" s="73"/>
    </row>
    <row r="115" spans="1:1" hidden="1" x14ac:dyDescent="0.55000000000000004">
      <c r="A115" s="73"/>
    </row>
    <row r="116" spans="1:1" hidden="1" x14ac:dyDescent="0.55000000000000004">
      <c r="A116" s="73"/>
    </row>
    <row r="117" spans="1:1" hidden="1" x14ac:dyDescent="0.55000000000000004">
      <c r="A117" s="73"/>
    </row>
    <row r="118" spans="1:1" hidden="1" x14ac:dyDescent="0.55000000000000004">
      <c r="A118" s="73"/>
    </row>
    <row r="119" spans="1:1" hidden="1" x14ac:dyDescent="0.55000000000000004">
      <c r="A119" s="73"/>
    </row>
    <row r="120" spans="1:1" hidden="1" x14ac:dyDescent="0.55000000000000004">
      <c r="A120" s="73"/>
    </row>
    <row r="121" spans="1:1" hidden="1" x14ac:dyDescent="0.55000000000000004">
      <c r="A121" s="73"/>
    </row>
    <row r="122" spans="1:1" hidden="1" x14ac:dyDescent="0.55000000000000004">
      <c r="A122" s="73"/>
    </row>
  </sheetData>
  <mergeCells count="227">
    <mergeCell ref="A1:F1"/>
    <mergeCell ref="A2:F2"/>
    <mergeCell ref="E6:E7"/>
    <mergeCell ref="E11:E12"/>
    <mergeCell ref="E13:E14"/>
    <mergeCell ref="B100:C100"/>
    <mergeCell ref="A101:A102"/>
    <mergeCell ref="C101:C102"/>
    <mergeCell ref="D101:D102"/>
    <mergeCell ref="F101:F102"/>
    <mergeCell ref="B93:C93"/>
    <mergeCell ref="A94:A95"/>
    <mergeCell ref="B94:C94"/>
    <mergeCell ref="D94:D95"/>
    <mergeCell ref="F94:F95"/>
    <mergeCell ref="B95:C95"/>
    <mergeCell ref="A89:A90"/>
    <mergeCell ref="C89:C90"/>
    <mergeCell ref="D89:D90"/>
    <mergeCell ref="F89:F90"/>
    <mergeCell ref="F91:F92"/>
    <mergeCell ref="A91:A92"/>
    <mergeCell ref="C91:C92"/>
    <mergeCell ref="D91:D92"/>
    <mergeCell ref="A103:A104"/>
    <mergeCell ref="C103:C104"/>
    <mergeCell ref="D103:D104"/>
    <mergeCell ref="F103:F104"/>
    <mergeCell ref="B96:C96"/>
    <mergeCell ref="B97:C97"/>
    <mergeCell ref="A98:A99"/>
    <mergeCell ref="C98:C99"/>
    <mergeCell ref="D98:D99"/>
    <mergeCell ref="F98:F99"/>
    <mergeCell ref="E98:E99"/>
    <mergeCell ref="E101:E102"/>
    <mergeCell ref="E103:E104"/>
    <mergeCell ref="E91:E92"/>
    <mergeCell ref="E94:E95"/>
    <mergeCell ref="E89:E90"/>
    <mergeCell ref="B86:C86"/>
    <mergeCell ref="A87:A88"/>
    <mergeCell ref="C87:C88"/>
    <mergeCell ref="D87:D88"/>
    <mergeCell ref="F87:F88"/>
    <mergeCell ref="E87:E88"/>
    <mergeCell ref="A82:A83"/>
    <mergeCell ref="C82:C83"/>
    <mergeCell ref="D82:D83"/>
    <mergeCell ref="F82:F83"/>
    <mergeCell ref="A84:A85"/>
    <mergeCell ref="C84:C85"/>
    <mergeCell ref="D84:D85"/>
    <mergeCell ref="F84:F85"/>
    <mergeCell ref="E82:E83"/>
    <mergeCell ref="E84:E85"/>
    <mergeCell ref="A78:A79"/>
    <mergeCell ref="C78:C79"/>
    <mergeCell ref="D78:D79"/>
    <mergeCell ref="F78:F79"/>
    <mergeCell ref="A80:A81"/>
    <mergeCell ref="B80:C80"/>
    <mergeCell ref="D80:D81"/>
    <mergeCell ref="F80:F81"/>
    <mergeCell ref="B81:C81"/>
    <mergeCell ref="E80:E81"/>
    <mergeCell ref="E78:E79"/>
    <mergeCell ref="B75:C75"/>
    <mergeCell ref="A76:A77"/>
    <mergeCell ref="B76:C76"/>
    <mergeCell ref="D76:D77"/>
    <mergeCell ref="F76:F77"/>
    <mergeCell ref="B77:C77"/>
    <mergeCell ref="A71:A72"/>
    <mergeCell ref="C71:C72"/>
    <mergeCell ref="D71:D72"/>
    <mergeCell ref="F71:F72"/>
    <mergeCell ref="A73:A74"/>
    <mergeCell ref="C73:C74"/>
    <mergeCell ref="D73:D74"/>
    <mergeCell ref="F73:F74"/>
    <mergeCell ref="E71:E72"/>
    <mergeCell ref="E73:E74"/>
    <mergeCell ref="E76:E77"/>
    <mergeCell ref="B68:C68"/>
    <mergeCell ref="A69:A70"/>
    <mergeCell ref="B69:C69"/>
    <mergeCell ref="D69:D70"/>
    <mergeCell ref="F69:F70"/>
    <mergeCell ref="B70:C70"/>
    <mergeCell ref="A64:A65"/>
    <mergeCell ref="C64:C65"/>
    <mergeCell ref="D64:D65"/>
    <mergeCell ref="F64:F65"/>
    <mergeCell ref="A66:A67"/>
    <mergeCell ref="B66:C66"/>
    <mergeCell ref="D66:D67"/>
    <mergeCell ref="F66:F67"/>
    <mergeCell ref="B67:C67"/>
    <mergeCell ref="E64:E65"/>
    <mergeCell ref="E66:E67"/>
    <mergeCell ref="E69:E70"/>
    <mergeCell ref="B60:C60"/>
    <mergeCell ref="B61:C61"/>
    <mergeCell ref="A62:A63"/>
    <mergeCell ref="C62:C63"/>
    <mergeCell ref="D62:D63"/>
    <mergeCell ref="F62:F63"/>
    <mergeCell ref="E62:E63"/>
    <mergeCell ref="B55:C55"/>
    <mergeCell ref="A56:A57"/>
    <mergeCell ref="C56:C57"/>
    <mergeCell ref="D56:D57"/>
    <mergeCell ref="F56:F57"/>
    <mergeCell ref="A58:A59"/>
    <mergeCell ref="C58:C59"/>
    <mergeCell ref="D58:D59"/>
    <mergeCell ref="F58:F59"/>
    <mergeCell ref="E56:E57"/>
    <mergeCell ref="E58:E59"/>
    <mergeCell ref="A52:A53"/>
    <mergeCell ref="C52:C53"/>
    <mergeCell ref="D52:D53"/>
    <mergeCell ref="F52:F53"/>
    <mergeCell ref="B54:C54"/>
    <mergeCell ref="B47:C47"/>
    <mergeCell ref="B48:C48"/>
    <mergeCell ref="B49:C49"/>
    <mergeCell ref="A50:A51"/>
    <mergeCell ref="C50:C51"/>
    <mergeCell ref="D50:D51"/>
    <mergeCell ref="E50:E51"/>
    <mergeCell ref="E52:E53"/>
    <mergeCell ref="F50:F51"/>
    <mergeCell ref="A43:A44"/>
    <mergeCell ref="B43:C43"/>
    <mergeCell ref="D43:D44"/>
    <mergeCell ref="F43:F44"/>
    <mergeCell ref="B44:C44"/>
    <mergeCell ref="A45:A46"/>
    <mergeCell ref="C45:C46"/>
    <mergeCell ref="D45:D46"/>
    <mergeCell ref="F45:F46"/>
    <mergeCell ref="E45:E46"/>
    <mergeCell ref="E43:E44"/>
    <mergeCell ref="B38:C38"/>
    <mergeCell ref="A39:A40"/>
    <mergeCell ref="C39:C40"/>
    <mergeCell ref="D39:D40"/>
    <mergeCell ref="F39:F40"/>
    <mergeCell ref="A41:A42"/>
    <mergeCell ref="C41:C42"/>
    <mergeCell ref="D41:D42"/>
    <mergeCell ref="F41:F42"/>
    <mergeCell ref="E39:E40"/>
    <mergeCell ref="E41:E42"/>
    <mergeCell ref="A34:A35"/>
    <mergeCell ref="C34:C35"/>
    <mergeCell ref="D34:D35"/>
    <mergeCell ref="F34:F35"/>
    <mergeCell ref="A36:A37"/>
    <mergeCell ref="C36:C37"/>
    <mergeCell ref="D36:D37"/>
    <mergeCell ref="F36:F37"/>
    <mergeCell ref="A29:A30"/>
    <mergeCell ref="C29:C30"/>
    <mergeCell ref="D29:D30"/>
    <mergeCell ref="F29:F30"/>
    <mergeCell ref="B31:C31"/>
    <mergeCell ref="A32:A33"/>
    <mergeCell ref="C32:C33"/>
    <mergeCell ref="D32:D33"/>
    <mergeCell ref="F32:F33"/>
    <mergeCell ref="E29:E30"/>
    <mergeCell ref="E32:E33"/>
    <mergeCell ref="E34:E35"/>
    <mergeCell ref="E36:E37"/>
    <mergeCell ref="A25:A26"/>
    <mergeCell ref="C25:C26"/>
    <mergeCell ref="D25:D26"/>
    <mergeCell ref="F25:F26"/>
    <mergeCell ref="A27:A28"/>
    <mergeCell ref="C27:C28"/>
    <mergeCell ref="D27:D28"/>
    <mergeCell ref="F27:F28"/>
    <mergeCell ref="E25:E26"/>
    <mergeCell ref="E27:E28"/>
    <mergeCell ref="A21:A22"/>
    <mergeCell ref="C21:C22"/>
    <mergeCell ref="D21:D22"/>
    <mergeCell ref="F21:F22"/>
    <mergeCell ref="A23:A24"/>
    <mergeCell ref="C23:C24"/>
    <mergeCell ref="D23:D24"/>
    <mergeCell ref="F23:F24"/>
    <mergeCell ref="E21:E22"/>
    <mergeCell ref="E23:E24"/>
    <mergeCell ref="D15:D16"/>
    <mergeCell ref="F15:F16"/>
    <mergeCell ref="E15:E16"/>
    <mergeCell ref="A17:A18"/>
    <mergeCell ref="C17:C18"/>
    <mergeCell ref="D17:D18"/>
    <mergeCell ref="F17:F18"/>
    <mergeCell ref="A19:A20"/>
    <mergeCell ref="C19:C20"/>
    <mergeCell ref="D19:D20"/>
    <mergeCell ref="F19:F20"/>
    <mergeCell ref="E17:E18"/>
    <mergeCell ref="E19:E20"/>
    <mergeCell ref="A15:A16"/>
    <mergeCell ref="A4:F4"/>
    <mergeCell ref="B5:C5"/>
    <mergeCell ref="A6:A7"/>
    <mergeCell ref="C6:C7"/>
    <mergeCell ref="D6:D7"/>
    <mergeCell ref="F6:F7"/>
    <mergeCell ref="A13:A14"/>
    <mergeCell ref="C13:C14"/>
    <mergeCell ref="D13:D14"/>
    <mergeCell ref="F13:F14"/>
    <mergeCell ref="A9:F9"/>
    <mergeCell ref="B10:C10"/>
    <mergeCell ref="A11:A12"/>
    <mergeCell ref="C11:C12"/>
    <mergeCell ref="D11:D12"/>
    <mergeCell ref="F11:F12"/>
  </mergeCells>
  <phoneticPr fontId="12" type="noConversion"/>
  <conditionalFormatting sqref="F15:F16">
    <cfRule type="cellIs" dxfId="11" priority="19" operator="equal">
      <formula>#REF!</formula>
    </cfRule>
  </conditionalFormatting>
  <conditionalFormatting sqref="F69:F70">
    <cfRule type="cellIs" dxfId="10" priority="20" operator="equal">
      <formula>#REF!</formula>
    </cfRule>
  </conditionalFormatting>
  <conditionalFormatting sqref="F76:F77">
    <cfRule type="cellIs" dxfId="9" priority="21" operator="equal">
      <formula>#REF!</formula>
    </cfRule>
  </conditionalFormatting>
  <conditionalFormatting sqref="F78:F79">
    <cfRule type="cellIs" dxfId="8" priority="22" operator="equal">
      <formula>#REF!</formula>
    </cfRule>
  </conditionalFormatting>
  <conditionalFormatting sqref="F82:F85">
    <cfRule type="cellIs" dxfId="7" priority="23" operator="equal">
      <formula>#REF!</formula>
    </cfRule>
  </conditionalFormatting>
  <pageMargins left="0.511811024" right="0.511811024" top="0.78740157499999996" bottom="0.78740157499999996" header="0.31496062000000002" footer="0.31496062000000002"/>
  <pageSetup paperSize="9" scale="18" orientation="portrait" r:id="rId1"/>
  <rowBreaks count="2" manualBreakCount="2">
    <brk id="60" max="4" man="1"/>
    <brk id="7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rgb="FF92D050"/>
    <pageSetUpPr fitToPage="1"/>
  </sheetPr>
  <dimension ref="A1:P60"/>
  <sheetViews>
    <sheetView showGridLines="0" zoomScale="70" zoomScaleNormal="70" zoomScaleSheet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7" sqref="E7"/>
    </sheetView>
  </sheetViews>
  <sheetFormatPr defaultColWidth="0" defaultRowHeight="26" x14ac:dyDescent="0.6"/>
  <cols>
    <col min="1" max="1" width="28.81640625" style="230" customWidth="1"/>
    <col min="2" max="3" width="10.54296875" style="71" customWidth="1"/>
    <col min="4" max="4" width="41.7265625" style="71" customWidth="1"/>
    <col min="5" max="5" width="59.54296875" style="71" customWidth="1"/>
    <col min="6" max="6" width="46.26953125" style="71" customWidth="1"/>
    <col min="7" max="7" width="20.1796875" style="71" customWidth="1"/>
    <col min="8" max="8" width="84.81640625" style="71" customWidth="1"/>
    <col min="9" max="9" width="23" style="125" bestFit="1" customWidth="1"/>
    <col min="10" max="11" width="23" style="125" customWidth="1"/>
    <col min="12" max="12" width="23.81640625" style="125" bestFit="1" customWidth="1"/>
    <col min="13" max="13" width="23.81640625" style="125" customWidth="1"/>
    <col min="14" max="14" width="21.81640625" style="125" bestFit="1" customWidth="1"/>
    <col min="15" max="15" width="15" style="130" customWidth="1"/>
    <col min="16" max="16384" width="9.1796875" style="77" hidden="1"/>
  </cols>
  <sheetData>
    <row r="1" spans="1:15" s="101" customFormat="1" x14ac:dyDescent="0.35">
      <c r="A1" s="282" t="str">
        <f>'Indicadores e Metas'!A1</f>
        <v>CAU/UF:  Conselho de Arquitetura e Urbanismo do Estado de Minas Gerais- CAU/MG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15" s="101" customFormat="1" x14ac:dyDescent="0.35">
      <c r="A2" s="282" t="s">
        <v>587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x14ac:dyDescent="0.6">
      <c r="A3" s="232"/>
      <c r="B3" s="232"/>
      <c r="C3" s="232"/>
      <c r="D3" s="232"/>
      <c r="E3" s="232"/>
      <c r="F3" s="232"/>
      <c r="G3" s="232"/>
      <c r="H3" s="232"/>
      <c r="I3" s="233"/>
      <c r="J3" s="233"/>
      <c r="K3" s="233"/>
      <c r="L3" s="233"/>
      <c r="M3" s="233"/>
      <c r="N3" s="233"/>
      <c r="O3" s="234"/>
    </row>
    <row r="4" spans="1:15" s="101" customFormat="1" x14ac:dyDescent="0.35">
      <c r="A4" s="305" t="s">
        <v>203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s="101" customFormat="1" ht="26.15" customHeight="1" x14ac:dyDescent="0.35">
      <c r="A5" s="253" t="s">
        <v>204</v>
      </c>
      <c r="B5" s="253" t="s">
        <v>205</v>
      </c>
      <c r="C5" s="306" t="s">
        <v>555</v>
      </c>
      <c r="D5" s="253" t="s">
        <v>206</v>
      </c>
      <c r="E5" s="253" t="s">
        <v>207</v>
      </c>
      <c r="F5" s="253" t="s">
        <v>208</v>
      </c>
      <c r="G5" s="253" t="s">
        <v>209</v>
      </c>
      <c r="H5" s="253" t="s">
        <v>210</v>
      </c>
      <c r="I5" s="307" t="s">
        <v>547</v>
      </c>
      <c r="J5" s="310" t="s">
        <v>540</v>
      </c>
      <c r="K5" s="311"/>
      <c r="L5" s="307" t="s">
        <v>548</v>
      </c>
      <c r="M5" s="307" t="s">
        <v>549</v>
      </c>
      <c r="N5" s="253" t="s">
        <v>550</v>
      </c>
      <c r="O5" s="253"/>
    </row>
    <row r="6" spans="1:15" s="101" customFormat="1" ht="49.5" customHeight="1" x14ac:dyDescent="0.35">
      <c r="A6" s="253"/>
      <c r="B6" s="253"/>
      <c r="C6" s="306"/>
      <c r="D6" s="253"/>
      <c r="E6" s="253"/>
      <c r="F6" s="253"/>
      <c r="G6" s="253"/>
      <c r="H6" s="253"/>
      <c r="I6" s="307"/>
      <c r="J6" s="124" t="s">
        <v>545</v>
      </c>
      <c r="K6" s="124" t="s">
        <v>546</v>
      </c>
      <c r="L6" s="307"/>
      <c r="M6" s="307"/>
      <c r="N6" s="124" t="s">
        <v>551</v>
      </c>
      <c r="O6" s="129" t="s">
        <v>552</v>
      </c>
    </row>
    <row r="7" spans="1:15" s="101" customFormat="1" ht="63" customHeight="1" x14ac:dyDescent="0.35">
      <c r="A7" s="202" t="s">
        <v>541</v>
      </c>
      <c r="B7" s="203" t="s">
        <v>303</v>
      </c>
      <c r="C7" s="203" t="s">
        <v>556</v>
      </c>
      <c r="D7" s="204" t="s">
        <v>499</v>
      </c>
      <c r="E7" s="222" t="s">
        <v>515</v>
      </c>
      <c r="F7" s="204" t="s">
        <v>99</v>
      </c>
      <c r="G7" s="204" t="s">
        <v>338</v>
      </c>
      <c r="H7" s="204" t="s">
        <v>357</v>
      </c>
      <c r="I7" s="201">
        <v>90283.29</v>
      </c>
      <c r="J7" s="201">
        <v>57562.17</v>
      </c>
      <c r="K7" s="201">
        <v>151409.22</v>
      </c>
      <c r="L7" s="201">
        <f>J7+K7</f>
        <v>208971.39</v>
      </c>
      <c r="M7" s="201">
        <v>0</v>
      </c>
      <c r="N7" s="205">
        <f>L7-I7</f>
        <v>118688.10000000002</v>
      </c>
      <c r="O7" s="206">
        <f t="shared" ref="O7:O45" si="0">IFERROR(N7/I7,)</f>
        <v>1.314618685251723</v>
      </c>
    </row>
    <row r="8" spans="1:15" s="101" customFormat="1" ht="78.75" customHeight="1" x14ac:dyDescent="0.35">
      <c r="A8" s="202" t="s">
        <v>541</v>
      </c>
      <c r="B8" s="203" t="s">
        <v>303</v>
      </c>
      <c r="C8" s="203" t="s">
        <v>556</v>
      </c>
      <c r="D8" s="204" t="s">
        <v>355</v>
      </c>
      <c r="E8" s="222" t="s">
        <v>514</v>
      </c>
      <c r="F8" s="204" t="s">
        <v>109</v>
      </c>
      <c r="G8" s="204" t="s">
        <v>338</v>
      </c>
      <c r="H8" s="204" t="s">
        <v>356</v>
      </c>
      <c r="I8" s="201">
        <v>90283.29</v>
      </c>
      <c r="J8" s="201">
        <v>47332.3</v>
      </c>
      <c r="K8" s="201">
        <v>119496.64</v>
      </c>
      <c r="L8" s="201">
        <f t="shared" ref="L8:L56" si="1">J8+K8</f>
        <v>166828.94</v>
      </c>
      <c r="M8" s="201">
        <v>0</v>
      </c>
      <c r="N8" s="205">
        <f t="shared" ref="N8:N56" si="2">L8-I8</f>
        <v>76545.650000000009</v>
      </c>
      <c r="O8" s="206">
        <f t="shared" si="0"/>
        <v>0.8478385092080718</v>
      </c>
    </row>
    <row r="9" spans="1:15" s="101" customFormat="1" ht="78.75" customHeight="1" x14ac:dyDescent="0.35">
      <c r="A9" s="202" t="s">
        <v>541</v>
      </c>
      <c r="B9" s="203" t="s">
        <v>303</v>
      </c>
      <c r="C9" s="203" t="s">
        <v>556</v>
      </c>
      <c r="D9" s="204" t="s">
        <v>351</v>
      </c>
      <c r="E9" s="222" t="s">
        <v>512</v>
      </c>
      <c r="F9" s="204" t="s">
        <v>107</v>
      </c>
      <c r="G9" s="204" t="s">
        <v>338</v>
      </c>
      <c r="H9" s="204" t="s">
        <v>352</v>
      </c>
      <c r="I9" s="201">
        <v>210661.01</v>
      </c>
      <c r="J9" s="201">
        <v>63929.020000000011</v>
      </c>
      <c r="K9" s="201">
        <v>134300.54</v>
      </c>
      <c r="L9" s="201">
        <f t="shared" si="1"/>
        <v>198229.56000000003</v>
      </c>
      <c r="M9" s="201">
        <v>0</v>
      </c>
      <c r="N9" s="205">
        <f t="shared" si="2"/>
        <v>-12431.449999999983</v>
      </c>
      <c r="O9" s="206">
        <f t="shared" si="0"/>
        <v>-5.9011632005371954E-2</v>
      </c>
    </row>
    <row r="10" spans="1:15" s="101" customFormat="1" ht="63" customHeight="1" x14ac:dyDescent="0.35">
      <c r="A10" s="202" t="s">
        <v>541</v>
      </c>
      <c r="B10" s="203" t="s">
        <v>303</v>
      </c>
      <c r="C10" s="203" t="s">
        <v>556</v>
      </c>
      <c r="D10" s="202" t="s">
        <v>349</v>
      </c>
      <c r="E10" s="222" t="s">
        <v>511</v>
      </c>
      <c r="F10" s="204" t="s">
        <v>103</v>
      </c>
      <c r="G10" s="204" t="s">
        <v>306</v>
      </c>
      <c r="H10" s="204" t="s">
        <v>350</v>
      </c>
      <c r="I10" s="201">
        <v>130377.72</v>
      </c>
      <c r="J10" s="201">
        <v>43115.340000000004</v>
      </c>
      <c r="K10" s="201">
        <v>152329.3833333333</v>
      </c>
      <c r="L10" s="201">
        <f t="shared" si="1"/>
        <v>195444.7233333333</v>
      </c>
      <c r="M10" s="201">
        <v>0</v>
      </c>
      <c r="N10" s="205">
        <f t="shared" si="2"/>
        <v>65067.003333333298</v>
      </c>
      <c r="O10" s="206">
        <f t="shared" si="0"/>
        <v>0.49906535666779028</v>
      </c>
    </row>
    <row r="11" spans="1:15" s="101" customFormat="1" ht="63" customHeight="1" x14ac:dyDescent="0.35">
      <c r="A11" s="202" t="s">
        <v>541</v>
      </c>
      <c r="B11" s="203" t="s">
        <v>303</v>
      </c>
      <c r="C11" s="203" t="s">
        <v>556</v>
      </c>
      <c r="D11" s="204" t="s">
        <v>353</v>
      </c>
      <c r="E11" s="222" t="s">
        <v>513</v>
      </c>
      <c r="F11" s="204" t="s">
        <v>101</v>
      </c>
      <c r="G11" s="204" t="s">
        <v>328</v>
      </c>
      <c r="H11" s="204" t="s">
        <v>354</v>
      </c>
      <c r="I11" s="201">
        <v>210661.01</v>
      </c>
      <c r="J11" s="201">
        <v>87989.15</v>
      </c>
      <c r="K11" s="201">
        <v>292463.48</v>
      </c>
      <c r="L11" s="201">
        <f t="shared" si="1"/>
        <v>380452.63</v>
      </c>
      <c r="M11" s="201">
        <v>0</v>
      </c>
      <c r="N11" s="205">
        <f t="shared" si="2"/>
        <v>169791.62</v>
      </c>
      <c r="O11" s="206">
        <f t="shared" si="0"/>
        <v>0.80599452171998975</v>
      </c>
    </row>
    <row r="12" spans="1:15" s="101" customFormat="1" ht="47.25" customHeight="1" x14ac:dyDescent="0.35">
      <c r="A12" s="202" t="s">
        <v>364</v>
      </c>
      <c r="B12" s="203" t="s">
        <v>303</v>
      </c>
      <c r="C12" s="203" t="s">
        <v>556</v>
      </c>
      <c r="D12" s="204" t="s">
        <v>365</v>
      </c>
      <c r="E12" s="204" t="s">
        <v>366</v>
      </c>
      <c r="F12" s="204" t="s">
        <v>112</v>
      </c>
      <c r="G12" s="204" t="s">
        <v>338</v>
      </c>
      <c r="H12" s="204" t="s">
        <v>367</v>
      </c>
      <c r="I12" s="201">
        <v>120000</v>
      </c>
      <c r="J12" s="201">
        <v>23333.75</v>
      </c>
      <c r="K12" s="201">
        <v>109588.30666666667</v>
      </c>
      <c r="L12" s="201">
        <f t="shared" si="1"/>
        <v>132922.05666666667</v>
      </c>
      <c r="M12" s="201">
        <v>0</v>
      </c>
      <c r="N12" s="205">
        <f t="shared" si="2"/>
        <v>12922.056666666671</v>
      </c>
      <c r="O12" s="206">
        <f t="shared" si="0"/>
        <v>0.1076838055555556</v>
      </c>
    </row>
    <row r="13" spans="1:15" s="101" customFormat="1" ht="47.25" customHeight="1" x14ac:dyDescent="0.35">
      <c r="A13" s="202" t="s">
        <v>364</v>
      </c>
      <c r="B13" s="203" t="s">
        <v>300</v>
      </c>
      <c r="C13" s="203" t="s">
        <v>556</v>
      </c>
      <c r="D13" s="204" t="s">
        <v>427</v>
      </c>
      <c r="E13" s="204" t="s">
        <v>376</v>
      </c>
      <c r="F13" s="204" t="s">
        <v>105</v>
      </c>
      <c r="G13" s="204" t="s">
        <v>328</v>
      </c>
      <c r="H13" s="204" t="s">
        <v>377</v>
      </c>
      <c r="I13" s="201">
        <v>30000</v>
      </c>
      <c r="J13" s="201">
        <v>5517.45</v>
      </c>
      <c r="K13" s="201">
        <v>44482.55</v>
      </c>
      <c r="L13" s="201">
        <f t="shared" si="1"/>
        <v>50000</v>
      </c>
      <c r="M13" s="201">
        <v>0</v>
      </c>
      <c r="N13" s="205">
        <f t="shared" si="2"/>
        <v>20000</v>
      </c>
      <c r="O13" s="206">
        <f t="shared" si="0"/>
        <v>0.66666666666666663</v>
      </c>
    </row>
    <row r="14" spans="1:15" s="101" customFormat="1" ht="62.15" customHeight="1" x14ac:dyDescent="0.35">
      <c r="A14" s="202" t="s">
        <v>541</v>
      </c>
      <c r="B14" s="203" t="s">
        <v>303</v>
      </c>
      <c r="C14" s="203" t="s">
        <v>556</v>
      </c>
      <c r="D14" s="204" t="s">
        <v>497</v>
      </c>
      <c r="E14" s="204" t="s">
        <v>420</v>
      </c>
      <c r="F14" s="204" t="s">
        <v>98</v>
      </c>
      <c r="G14" s="204" t="s">
        <v>340</v>
      </c>
      <c r="H14" s="204" t="s">
        <v>421</v>
      </c>
      <c r="I14" s="201">
        <v>30000</v>
      </c>
      <c r="J14" s="201">
        <v>0</v>
      </c>
      <c r="K14" s="201">
        <v>35000</v>
      </c>
      <c r="L14" s="201">
        <f t="shared" si="1"/>
        <v>35000</v>
      </c>
      <c r="M14" s="201">
        <v>0</v>
      </c>
      <c r="N14" s="205">
        <f t="shared" si="2"/>
        <v>5000</v>
      </c>
      <c r="O14" s="206">
        <f t="shared" si="0"/>
        <v>0.16666666666666666</v>
      </c>
    </row>
    <row r="15" spans="1:15" s="101" customFormat="1" ht="63" customHeight="1" x14ac:dyDescent="0.35">
      <c r="A15" s="202" t="s">
        <v>419</v>
      </c>
      <c r="B15" s="203" t="s">
        <v>63</v>
      </c>
      <c r="C15" s="203" t="s">
        <v>557</v>
      </c>
      <c r="D15" s="204" t="s">
        <v>439</v>
      </c>
      <c r="E15" s="204" t="s">
        <v>422</v>
      </c>
      <c r="F15" s="204" t="s">
        <v>97</v>
      </c>
      <c r="G15" s="204" t="s">
        <v>338</v>
      </c>
      <c r="H15" s="204" t="s">
        <v>423</v>
      </c>
      <c r="I15" s="201">
        <v>100000</v>
      </c>
      <c r="J15" s="201">
        <v>0</v>
      </c>
      <c r="K15" s="201">
        <v>100000</v>
      </c>
      <c r="L15" s="201">
        <f t="shared" si="1"/>
        <v>100000</v>
      </c>
      <c r="M15" s="201">
        <v>100000</v>
      </c>
      <c r="N15" s="205">
        <f t="shared" si="2"/>
        <v>0</v>
      </c>
      <c r="O15" s="206">
        <f t="shared" si="0"/>
        <v>0</v>
      </c>
    </row>
    <row r="16" spans="1:15" s="101" customFormat="1" ht="47.25" customHeight="1" x14ac:dyDescent="0.35">
      <c r="A16" s="202" t="s">
        <v>541</v>
      </c>
      <c r="B16" s="203" t="s">
        <v>303</v>
      </c>
      <c r="C16" s="203" t="s">
        <v>556</v>
      </c>
      <c r="D16" s="204" t="s">
        <v>368</v>
      </c>
      <c r="E16" s="204" t="s">
        <v>369</v>
      </c>
      <c r="F16" s="204" t="s">
        <v>99</v>
      </c>
      <c r="G16" s="204" t="s">
        <v>338</v>
      </c>
      <c r="H16" s="204" t="s">
        <v>370</v>
      </c>
      <c r="I16" s="201">
        <v>0</v>
      </c>
      <c r="J16" s="201">
        <v>0</v>
      </c>
      <c r="K16" s="201">
        <v>30000</v>
      </c>
      <c r="L16" s="201">
        <f t="shared" si="1"/>
        <v>30000</v>
      </c>
      <c r="M16" s="201">
        <v>0</v>
      </c>
      <c r="N16" s="205">
        <f t="shared" si="2"/>
        <v>30000</v>
      </c>
      <c r="O16" s="206">
        <f t="shared" si="0"/>
        <v>0</v>
      </c>
    </row>
    <row r="17" spans="1:15" s="101" customFormat="1" ht="94.5" customHeight="1" x14ac:dyDescent="0.35">
      <c r="A17" s="202" t="s">
        <v>541</v>
      </c>
      <c r="B17" s="203" t="s">
        <v>303</v>
      </c>
      <c r="C17" s="203" t="s">
        <v>556</v>
      </c>
      <c r="D17" s="204" t="s">
        <v>434</v>
      </c>
      <c r="E17" s="222" t="s">
        <v>516</v>
      </c>
      <c r="F17" s="204" t="s">
        <v>104</v>
      </c>
      <c r="G17" s="204" t="s">
        <v>328</v>
      </c>
      <c r="H17" s="204" t="s">
        <v>359</v>
      </c>
      <c r="I17" s="201">
        <v>30094.43</v>
      </c>
      <c r="J17" s="201">
        <v>2839</v>
      </c>
      <c r="K17" s="201">
        <v>68397.566666666666</v>
      </c>
      <c r="L17" s="201">
        <f t="shared" si="1"/>
        <v>71236.566666666666</v>
      </c>
      <c r="M17" s="201">
        <v>0</v>
      </c>
      <c r="N17" s="205">
        <f t="shared" si="2"/>
        <v>41142.136666666665</v>
      </c>
      <c r="O17" s="206">
        <f t="shared" si="0"/>
        <v>1.3671013761239759</v>
      </c>
    </row>
    <row r="18" spans="1:15" s="101" customFormat="1" ht="47.25" customHeight="1" x14ac:dyDescent="0.35">
      <c r="A18" s="202" t="s">
        <v>358</v>
      </c>
      <c r="B18" s="203" t="s">
        <v>63</v>
      </c>
      <c r="C18" s="203" t="s">
        <v>557</v>
      </c>
      <c r="D18" s="204" t="s">
        <v>560</v>
      </c>
      <c r="E18" s="204" t="s">
        <v>373</v>
      </c>
      <c r="F18" s="204" t="s">
        <v>97</v>
      </c>
      <c r="G18" s="204" t="s">
        <v>328</v>
      </c>
      <c r="H18" s="204" t="s">
        <v>577</v>
      </c>
      <c r="I18" s="201">
        <v>100000</v>
      </c>
      <c r="J18" s="201">
        <v>0</v>
      </c>
      <c r="K18" s="201">
        <v>100000</v>
      </c>
      <c r="L18" s="201">
        <f t="shared" si="1"/>
        <v>100000</v>
      </c>
      <c r="M18" s="201">
        <v>100000</v>
      </c>
      <c r="N18" s="205">
        <f t="shared" si="2"/>
        <v>0</v>
      </c>
      <c r="O18" s="206">
        <f t="shared" si="0"/>
        <v>0</v>
      </c>
    </row>
    <row r="19" spans="1:15" s="101" customFormat="1" ht="63" customHeight="1" x14ac:dyDescent="0.35">
      <c r="A19" s="202" t="s">
        <v>358</v>
      </c>
      <c r="B19" s="203" t="s">
        <v>63</v>
      </c>
      <c r="C19" s="203" t="s">
        <v>557</v>
      </c>
      <c r="D19" s="204" t="s">
        <v>428</v>
      </c>
      <c r="E19" s="204" t="s">
        <v>508</v>
      </c>
      <c r="F19" s="204" t="s">
        <v>104</v>
      </c>
      <c r="G19" s="204" t="s">
        <v>338</v>
      </c>
      <c r="H19" s="204" t="s">
        <v>576</v>
      </c>
      <c r="I19" s="201">
        <v>50000</v>
      </c>
      <c r="J19" s="201">
        <v>0</v>
      </c>
      <c r="K19" s="201">
        <v>50000</v>
      </c>
      <c r="L19" s="201">
        <f t="shared" si="1"/>
        <v>50000</v>
      </c>
      <c r="M19" s="201">
        <v>50000</v>
      </c>
      <c r="N19" s="205">
        <f t="shared" si="2"/>
        <v>0</v>
      </c>
      <c r="O19" s="206">
        <f t="shared" si="0"/>
        <v>0</v>
      </c>
    </row>
    <row r="20" spans="1:15" s="101" customFormat="1" ht="94.5" customHeight="1" x14ac:dyDescent="0.35">
      <c r="A20" s="202" t="s">
        <v>541</v>
      </c>
      <c r="B20" s="203" t="s">
        <v>303</v>
      </c>
      <c r="C20" s="203" t="s">
        <v>556</v>
      </c>
      <c r="D20" s="204" t="s">
        <v>435</v>
      </c>
      <c r="E20" s="222" t="s">
        <v>517</v>
      </c>
      <c r="F20" s="204" t="s">
        <v>108</v>
      </c>
      <c r="G20" s="204" t="s">
        <v>328</v>
      </c>
      <c r="H20" s="204" t="s">
        <v>361</v>
      </c>
      <c r="I20" s="201">
        <v>30094.43</v>
      </c>
      <c r="J20" s="201">
        <v>5759.66</v>
      </c>
      <c r="K20" s="201">
        <v>75869.113333333327</v>
      </c>
      <c r="L20" s="201">
        <f t="shared" si="1"/>
        <v>81628.773333333331</v>
      </c>
      <c r="M20" s="201">
        <v>0</v>
      </c>
      <c r="N20" s="205">
        <f t="shared" si="2"/>
        <v>51534.343333333331</v>
      </c>
      <c r="O20" s="206">
        <f t="shared" si="0"/>
        <v>1.7124213129583556</v>
      </c>
    </row>
    <row r="21" spans="1:15" s="101" customFormat="1" ht="62" x14ac:dyDescent="0.35">
      <c r="A21" s="202" t="s">
        <v>360</v>
      </c>
      <c r="B21" s="203" t="s">
        <v>63</v>
      </c>
      <c r="C21" s="203" t="s">
        <v>556</v>
      </c>
      <c r="D21" s="204" t="s">
        <v>374</v>
      </c>
      <c r="E21" s="204" t="s">
        <v>375</v>
      </c>
      <c r="F21" s="204" t="s">
        <v>108</v>
      </c>
      <c r="G21" s="204" t="s">
        <v>328</v>
      </c>
      <c r="H21" s="204" t="s">
        <v>372</v>
      </c>
      <c r="I21" s="201">
        <v>500000</v>
      </c>
      <c r="J21" s="201">
        <v>0</v>
      </c>
      <c r="K21" s="201">
        <v>500000</v>
      </c>
      <c r="L21" s="201">
        <f t="shared" si="1"/>
        <v>500000</v>
      </c>
      <c r="M21" s="201">
        <v>500000</v>
      </c>
      <c r="N21" s="205">
        <f t="shared" si="2"/>
        <v>0</v>
      </c>
      <c r="O21" s="206">
        <f t="shared" si="0"/>
        <v>0</v>
      </c>
    </row>
    <row r="22" spans="1:15" s="101" customFormat="1" ht="94.5" customHeight="1" x14ac:dyDescent="0.35">
      <c r="A22" s="202" t="s">
        <v>541</v>
      </c>
      <c r="B22" s="203" t="s">
        <v>303</v>
      </c>
      <c r="C22" s="203" t="s">
        <v>556</v>
      </c>
      <c r="D22" s="204" t="s">
        <v>436</v>
      </c>
      <c r="E22" s="222" t="s">
        <v>518</v>
      </c>
      <c r="F22" s="204" t="s">
        <v>105</v>
      </c>
      <c r="G22" s="204" t="s">
        <v>328</v>
      </c>
      <c r="H22" s="204" t="s">
        <v>363</v>
      </c>
      <c r="I22" s="201">
        <v>30094.43</v>
      </c>
      <c r="J22" s="201">
        <v>1670</v>
      </c>
      <c r="K22" s="201">
        <v>60877.893333333348</v>
      </c>
      <c r="L22" s="201">
        <f t="shared" si="1"/>
        <v>62547.893333333348</v>
      </c>
      <c r="M22" s="201">
        <v>0</v>
      </c>
      <c r="N22" s="205">
        <f t="shared" si="2"/>
        <v>32453.463333333348</v>
      </c>
      <c r="O22" s="206">
        <f t="shared" si="0"/>
        <v>1.0783877060749563</v>
      </c>
    </row>
    <row r="23" spans="1:15" s="101" customFormat="1" ht="47.25" customHeight="1" x14ac:dyDescent="0.35">
      <c r="A23" s="202" t="s">
        <v>362</v>
      </c>
      <c r="B23" s="203" t="s">
        <v>63</v>
      </c>
      <c r="C23" s="203" t="s">
        <v>557</v>
      </c>
      <c r="D23" s="204" t="s">
        <v>561</v>
      </c>
      <c r="E23" s="204" t="s">
        <v>371</v>
      </c>
      <c r="F23" s="204" t="s">
        <v>105</v>
      </c>
      <c r="G23" s="204" t="s">
        <v>340</v>
      </c>
      <c r="H23" s="204" t="s">
        <v>372</v>
      </c>
      <c r="I23" s="201">
        <v>250000</v>
      </c>
      <c r="J23" s="201">
        <v>0</v>
      </c>
      <c r="K23" s="201">
        <v>250000</v>
      </c>
      <c r="L23" s="201">
        <f t="shared" si="1"/>
        <v>250000</v>
      </c>
      <c r="M23" s="201">
        <v>250000</v>
      </c>
      <c r="N23" s="205">
        <f t="shared" si="2"/>
        <v>0</v>
      </c>
      <c r="O23" s="206">
        <f t="shared" si="0"/>
        <v>0</v>
      </c>
    </row>
    <row r="24" spans="1:15" s="101" customFormat="1" ht="47.25" customHeight="1" x14ac:dyDescent="0.35">
      <c r="A24" s="202" t="s">
        <v>364</v>
      </c>
      <c r="B24" s="203" t="s">
        <v>303</v>
      </c>
      <c r="C24" s="203" t="s">
        <v>559</v>
      </c>
      <c r="D24" s="204" t="s">
        <v>525</v>
      </c>
      <c r="E24" s="204" t="s">
        <v>366</v>
      </c>
      <c r="F24" s="204" t="s">
        <v>112</v>
      </c>
      <c r="G24" s="204" t="s">
        <v>338</v>
      </c>
      <c r="H24" s="204" t="s">
        <v>578</v>
      </c>
      <c r="I24" s="201">
        <v>0</v>
      </c>
      <c r="J24" s="201">
        <v>0</v>
      </c>
      <c r="K24" s="201">
        <v>148278.88</v>
      </c>
      <c r="L24" s="201">
        <f t="shared" si="1"/>
        <v>148278.88</v>
      </c>
      <c r="M24" s="201">
        <v>0</v>
      </c>
      <c r="N24" s="205">
        <f t="shared" si="2"/>
        <v>148278.88</v>
      </c>
      <c r="O24" s="206">
        <f t="shared" si="0"/>
        <v>0</v>
      </c>
    </row>
    <row r="25" spans="1:15" s="101" customFormat="1" ht="31.5" customHeight="1" x14ac:dyDescent="0.35">
      <c r="A25" s="202" t="s">
        <v>364</v>
      </c>
      <c r="B25" s="203" t="s">
        <v>303</v>
      </c>
      <c r="C25" s="203" t="s">
        <v>556</v>
      </c>
      <c r="D25" s="204" t="s">
        <v>507</v>
      </c>
      <c r="E25" s="204" t="s">
        <v>392</v>
      </c>
      <c r="F25" s="204" t="s">
        <v>99</v>
      </c>
      <c r="G25" s="204" t="s">
        <v>338</v>
      </c>
      <c r="H25" s="204" t="s">
        <v>393</v>
      </c>
      <c r="I25" s="201">
        <v>652075.49</v>
      </c>
      <c r="J25" s="201">
        <v>189624.13</v>
      </c>
      <c r="K25" s="201">
        <v>338286.76</v>
      </c>
      <c r="L25" s="201">
        <f t="shared" si="1"/>
        <v>527910.89</v>
      </c>
      <c r="M25" s="201">
        <v>0</v>
      </c>
      <c r="N25" s="205">
        <f t="shared" si="2"/>
        <v>-124164.59999999998</v>
      </c>
      <c r="O25" s="206">
        <f t="shared" si="0"/>
        <v>-0.19041445646116828</v>
      </c>
    </row>
    <row r="26" spans="1:15" s="101" customFormat="1" ht="31.5" customHeight="1" x14ac:dyDescent="0.35">
      <c r="A26" s="202" t="s">
        <v>391</v>
      </c>
      <c r="B26" s="203" t="s">
        <v>63</v>
      </c>
      <c r="C26" s="203" t="s">
        <v>557</v>
      </c>
      <c r="D26" s="204" t="s">
        <v>429</v>
      </c>
      <c r="E26" s="204" t="s">
        <v>432</v>
      </c>
      <c r="F26" s="204" t="s">
        <v>99</v>
      </c>
      <c r="G26" s="204" t="s">
        <v>338</v>
      </c>
      <c r="H26" s="204" t="s">
        <v>575</v>
      </c>
      <c r="I26" s="201">
        <v>150000</v>
      </c>
      <c r="J26" s="201">
        <v>0</v>
      </c>
      <c r="K26" s="201">
        <v>150000</v>
      </c>
      <c r="L26" s="201">
        <f t="shared" si="1"/>
        <v>150000</v>
      </c>
      <c r="M26" s="201">
        <v>150000</v>
      </c>
      <c r="N26" s="205">
        <f t="shared" si="2"/>
        <v>0</v>
      </c>
      <c r="O26" s="206">
        <f t="shared" si="0"/>
        <v>0</v>
      </c>
    </row>
    <row r="27" spans="1:15" s="101" customFormat="1" ht="47.25" customHeight="1" x14ac:dyDescent="0.35">
      <c r="A27" s="202" t="s">
        <v>364</v>
      </c>
      <c r="B27" s="203" t="s">
        <v>303</v>
      </c>
      <c r="C27" s="203" t="s">
        <v>556</v>
      </c>
      <c r="D27" s="204" t="s">
        <v>381</v>
      </c>
      <c r="E27" s="204" t="s">
        <v>149</v>
      </c>
      <c r="F27" s="204" t="s">
        <v>102</v>
      </c>
      <c r="G27" s="204" t="s">
        <v>338</v>
      </c>
      <c r="H27" s="204" t="s">
        <v>382</v>
      </c>
      <c r="I27" s="201">
        <v>316239.49</v>
      </c>
      <c r="J27" s="201">
        <v>90116.58</v>
      </c>
      <c r="K27" s="201">
        <v>233475.51</v>
      </c>
      <c r="L27" s="201">
        <f t="shared" si="1"/>
        <v>323592.09000000003</v>
      </c>
      <c r="M27" s="201">
        <v>0</v>
      </c>
      <c r="N27" s="205">
        <f t="shared" si="2"/>
        <v>7352.6000000000349</v>
      </c>
      <c r="O27" s="206">
        <f t="shared" si="0"/>
        <v>2.325010073852584E-2</v>
      </c>
    </row>
    <row r="28" spans="1:15" s="101" customFormat="1" ht="63" customHeight="1" x14ac:dyDescent="0.35">
      <c r="A28" s="202" t="s">
        <v>542</v>
      </c>
      <c r="B28" s="203" t="s">
        <v>303</v>
      </c>
      <c r="C28" s="203" t="s">
        <v>556</v>
      </c>
      <c r="D28" s="204" t="s">
        <v>378</v>
      </c>
      <c r="E28" s="204" t="s">
        <v>379</v>
      </c>
      <c r="F28" s="204" t="s">
        <v>111</v>
      </c>
      <c r="G28" s="204" t="s">
        <v>321</v>
      </c>
      <c r="H28" s="204" t="s">
        <v>380</v>
      </c>
      <c r="I28" s="201">
        <v>159416.19999999998</v>
      </c>
      <c r="J28" s="201">
        <v>23814.52</v>
      </c>
      <c r="K28" s="201">
        <v>178517.75</v>
      </c>
      <c r="L28" s="201">
        <f t="shared" si="1"/>
        <v>202332.27</v>
      </c>
      <c r="M28" s="201">
        <v>0</v>
      </c>
      <c r="N28" s="205">
        <f t="shared" si="2"/>
        <v>42916.070000000007</v>
      </c>
      <c r="O28" s="206">
        <f t="shared" si="0"/>
        <v>0.26920770912868336</v>
      </c>
    </row>
    <row r="29" spans="1:15" s="101" customFormat="1" ht="63" customHeight="1" x14ac:dyDescent="0.35">
      <c r="A29" s="202" t="s">
        <v>364</v>
      </c>
      <c r="B29" s="203" t="s">
        <v>303</v>
      </c>
      <c r="C29" s="203" t="s">
        <v>559</v>
      </c>
      <c r="D29" s="204" t="s">
        <v>543</v>
      </c>
      <c r="E29" s="204" t="s">
        <v>563</v>
      </c>
      <c r="F29" s="204" t="s">
        <v>112</v>
      </c>
      <c r="G29" s="204" t="s">
        <v>338</v>
      </c>
      <c r="H29" s="204" t="s">
        <v>563</v>
      </c>
      <c r="I29" s="201">
        <v>0</v>
      </c>
      <c r="J29" s="201">
        <v>0</v>
      </c>
      <c r="K29" s="201">
        <v>212950.63666666666</v>
      </c>
      <c r="L29" s="201">
        <f t="shared" si="1"/>
        <v>212950.63666666666</v>
      </c>
      <c r="M29" s="201">
        <v>0</v>
      </c>
      <c r="N29" s="205">
        <f t="shared" si="2"/>
        <v>212950.63666666666</v>
      </c>
      <c r="O29" s="206">
        <f t="shared" si="0"/>
        <v>0</v>
      </c>
    </row>
    <row r="30" spans="1:15" s="101" customFormat="1" ht="47.25" customHeight="1" x14ac:dyDescent="0.35">
      <c r="A30" s="202" t="s">
        <v>526</v>
      </c>
      <c r="B30" s="203" t="s">
        <v>303</v>
      </c>
      <c r="C30" s="203" t="s">
        <v>556</v>
      </c>
      <c r="D30" s="204" t="s">
        <v>384</v>
      </c>
      <c r="E30" s="204" t="s">
        <v>385</v>
      </c>
      <c r="F30" s="204" t="s">
        <v>106</v>
      </c>
      <c r="G30" s="204" t="s">
        <v>340</v>
      </c>
      <c r="H30" s="204" t="s">
        <v>386</v>
      </c>
      <c r="I30" s="201">
        <v>449772.36</v>
      </c>
      <c r="J30" s="201">
        <v>78738.69</v>
      </c>
      <c r="K30" s="201">
        <v>315364.75</v>
      </c>
      <c r="L30" s="201">
        <f t="shared" si="1"/>
        <v>394103.44</v>
      </c>
      <c r="M30" s="201">
        <v>0</v>
      </c>
      <c r="N30" s="205">
        <f t="shared" si="2"/>
        <v>-55668.919999999984</v>
      </c>
      <c r="O30" s="206">
        <f t="shared" si="0"/>
        <v>-0.12377132289765425</v>
      </c>
    </row>
    <row r="31" spans="1:15" s="101" customFormat="1" ht="31.5" customHeight="1" x14ac:dyDescent="0.35">
      <c r="A31" s="202" t="s">
        <v>526</v>
      </c>
      <c r="B31" s="203" t="s">
        <v>63</v>
      </c>
      <c r="C31" s="203" t="s">
        <v>557</v>
      </c>
      <c r="D31" s="204" t="s">
        <v>430</v>
      </c>
      <c r="E31" s="204" t="s">
        <v>433</v>
      </c>
      <c r="F31" s="204" t="s">
        <v>106</v>
      </c>
      <c r="G31" s="204" t="s">
        <v>338</v>
      </c>
      <c r="H31" s="204" t="s">
        <v>574</v>
      </c>
      <c r="I31" s="201">
        <v>130000</v>
      </c>
      <c r="J31" s="201">
        <v>0</v>
      </c>
      <c r="K31" s="201">
        <v>280000</v>
      </c>
      <c r="L31" s="201">
        <f t="shared" si="1"/>
        <v>280000</v>
      </c>
      <c r="M31" s="201">
        <v>280000</v>
      </c>
      <c r="N31" s="205">
        <f t="shared" si="2"/>
        <v>150000</v>
      </c>
      <c r="O31" s="206">
        <f t="shared" si="0"/>
        <v>1.1538461538461537</v>
      </c>
    </row>
    <row r="32" spans="1:15" s="101" customFormat="1" ht="31.5" customHeight="1" x14ac:dyDescent="0.35">
      <c r="A32" s="202" t="s">
        <v>526</v>
      </c>
      <c r="B32" s="203" t="s">
        <v>303</v>
      </c>
      <c r="C32" s="203" t="s">
        <v>556</v>
      </c>
      <c r="D32" s="204" t="s">
        <v>505</v>
      </c>
      <c r="E32" s="204" t="s">
        <v>383</v>
      </c>
      <c r="F32" s="204" t="s">
        <v>106</v>
      </c>
      <c r="G32" s="204" t="s">
        <v>338</v>
      </c>
      <c r="H32" s="204" t="s">
        <v>573</v>
      </c>
      <c r="I32" s="201">
        <v>754807.32000000007</v>
      </c>
      <c r="J32" s="201">
        <v>187889.79</v>
      </c>
      <c r="K32" s="201">
        <v>475005.37358733336</v>
      </c>
      <c r="L32" s="201">
        <f t="shared" si="1"/>
        <v>662895.1635873334</v>
      </c>
      <c r="M32" s="201">
        <v>0</v>
      </c>
      <c r="N32" s="205">
        <f t="shared" si="2"/>
        <v>-91912.156412666664</v>
      </c>
      <c r="O32" s="206">
        <f t="shared" si="0"/>
        <v>-0.12176903161546798</v>
      </c>
    </row>
    <row r="33" spans="1:15" s="101" customFormat="1" ht="108.5" x14ac:dyDescent="0.35">
      <c r="A33" s="202" t="s">
        <v>526</v>
      </c>
      <c r="B33" s="203" t="s">
        <v>303</v>
      </c>
      <c r="C33" s="203" t="s">
        <v>559</v>
      </c>
      <c r="D33" s="204" t="s">
        <v>527</v>
      </c>
      <c r="E33" s="204" t="s">
        <v>566</v>
      </c>
      <c r="F33" s="204" t="s">
        <v>99</v>
      </c>
      <c r="G33" s="204" t="s">
        <v>338</v>
      </c>
      <c r="H33" s="204" t="s">
        <v>566</v>
      </c>
      <c r="I33" s="201">
        <v>0</v>
      </c>
      <c r="J33" s="201">
        <v>0</v>
      </c>
      <c r="K33" s="201">
        <v>137324.53</v>
      </c>
      <c r="L33" s="201">
        <f t="shared" si="1"/>
        <v>137324.53</v>
      </c>
      <c r="M33" s="201">
        <v>0</v>
      </c>
      <c r="N33" s="205">
        <f t="shared" si="2"/>
        <v>137324.53</v>
      </c>
      <c r="O33" s="206">
        <f t="shared" si="0"/>
        <v>0</v>
      </c>
    </row>
    <row r="34" spans="1:15" s="101" customFormat="1" ht="107.5" customHeight="1" x14ac:dyDescent="0.35">
      <c r="A34" s="202" t="s">
        <v>526</v>
      </c>
      <c r="B34" s="203" t="s">
        <v>303</v>
      </c>
      <c r="C34" s="203" t="s">
        <v>559</v>
      </c>
      <c r="D34" s="204" t="s">
        <v>538</v>
      </c>
      <c r="E34" s="204" t="s">
        <v>565</v>
      </c>
      <c r="F34" s="204" t="s">
        <v>106</v>
      </c>
      <c r="G34" s="204" t="s">
        <v>338</v>
      </c>
      <c r="H34" s="204" t="s">
        <v>565</v>
      </c>
      <c r="I34" s="201">
        <v>0</v>
      </c>
      <c r="J34" s="201">
        <v>0</v>
      </c>
      <c r="K34" s="201">
        <v>0</v>
      </c>
      <c r="L34" s="201">
        <f t="shared" si="1"/>
        <v>0</v>
      </c>
      <c r="M34" s="201">
        <v>0</v>
      </c>
      <c r="N34" s="205">
        <f t="shared" si="2"/>
        <v>0</v>
      </c>
      <c r="O34" s="206">
        <f t="shared" si="0"/>
        <v>0</v>
      </c>
    </row>
    <row r="35" spans="1:15" s="101" customFormat="1" ht="101.15" customHeight="1" x14ac:dyDescent="0.35">
      <c r="A35" s="202" t="s">
        <v>526</v>
      </c>
      <c r="B35" s="203" t="s">
        <v>303</v>
      </c>
      <c r="C35" s="203" t="s">
        <v>559</v>
      </c>
      <c r="D35" s="204" t="s">
        <v>537</v>
      </c>
      <c r="E35" s="202" t="s">
        <v>569</v>
      </c>
      <c r="F35" s="204" t="s">
        <v>112</v>
      </c>
      <c r="G35" s="204" t="s">
        <v>338</v>
      </c>
      <c r="H35" s="202" t="s">
        <v>569</v>
      </c>
      <c r="I35" s="201">
        <v>0</v>
      </c>
      <c r="J35" s="201">
        <v>0</v>
      </c>
      <c r="K35" s="201">
        <v>114594.83</v>
      </c>
      <c r="L35" s="201">
        <f t="shared" si="1"/>
        <v>114594.83</v>
      </c>
      <c r="M35" s="201">
        <v>0</v>
      </c>
      <c r="N35" s="205">
        <f t="shared" si="2"/>
        <v>114594.83</v>
      </c>
      <c r="O35" s="206">
        <f t="shared" si="0"/>
        <v>0</v>
      </c>
    </row>
    <row r="36" spans="1:15" s="101" customFormat="1" ht="31.5" customHeight="1" x14ac:dyDescent="0.35">
      <c r="A36" s="202" t="s">
        <v>364</v>
      </c>
      <c r="B36" s="203" t="s">
        <v>303</v>
      </c>
      <c r="C36" s="203" t="s">
        <v>556</v>
      </c>
      <c r="D36" s="204" t="s">
        <v>506</v>
      </c>
      <c r="E36" s="204" t="s">
        <v>387</v>
      </c>
      <c r="F36" s="204" t="s">
        <v>112</v>
      </c>
      <c r="G36" s="204" t="s">
        <v>310</v>
      </c>
      <c r="H36" s="204" t="s">
        <v>388</v>
      </c>
      <c r="I36" s="201">
        <v>580443.29</v>
      </c>
      <c r="J36" s="201">
        <v>224897.13999999998</v>
      </c>
      <c r="K36" s="201">
        <v>329406.71999999997</v>
      </c>
      <c r="L36" s="201">
        <f t="shared" si="1"/>
        <v>554303.86</v>
      </c>
      <c r="M36" s="201">
        <v>0</v>
      </c>
      <c r="N36" s="205">
        <f t="shared" si="2"/>
        <v>-26139.430000000051</v>
      </c>
      <c r="O36" s="206">
        <f t="shared" si="0"/>
        <v>-4.503356391629585E-2</v>
      </c>
    </row>
    <row r="37" spans="1:15" s="101" customFormat="1" ht="39.65" customHeight="1" x14ac:dyDescent="0.35">
      <c r="A37" s="202" t="s">
        <v>533</v>
      </c>
      <c r="B37" s="203" t="s">
        <v>63</v>
      </c>
      <c r="C37" s="203" t="s">
        <v>557</v>
      </c>
      <c r="D37" s="204" t="s">
        <v>431</v>
      </c>
      <c r="E37" s="204" t="s">
        <v>424</v>
      </c>
      <c r="F37" s="204" t="s">
        <v>112</v>
      </c>
      <c r="G37" s="204" t="s">
        <v>338</v>
      </c>
      <c r="H37" s="204" t="s">
        <v>570</v>
      </c>
      <c r="I37" s="201">
        <v>200000</v>
      </c>
      <c r="J37" s="201">
        <v>0</v>
      </c>
      <c r="K37" s="201">
        <v>200000</v>
      </c>
      <c r="L37" s="201">
        <f t="shared" si="1"/>
        <v>200000</v>
      </c>
      <c r="M37" s="201">
        <v>200000</v>
      </c>
      <c r="N37" s="205">
        <f t="shared" si="2"/>
        <v>0</v>
      </c>
      <c r="O37" s="206">
        <f t="shared" si="0"/>
        <v>0</v>
      </c>
    </row>
    <row r="38" spans="1:15" s="101" customFormat="1" ht="47.25" customHeight="1" x14ac:dyDescent="0.35">
      <c r="A38" s="202" t="s">
        <v>533</v>
      </c>
      <c r="B38" s="203" t="s">
        <v>63</v>
      </c>
      <c r="C38" s="203" t="s">
        <v>556</v>
      </c>
      <c r="D38" s="204" t="s">
        <v>562</v>
      </c>
      <c r="E38" s="204" t="s">
        <v>389</v>
      </c>
      <c r="F38" s="204" t="s">
        <v>113</v>
      </c>
      <c r="G38" s="204" t="s">
        <v>338</v>
      </c>
      <c r="H38" s="204" t="s">
        <v>390</v>
      </c>
      <c r="I38" s="201">
        <v>400000</v>
      </c>
      <c r="J38" s="201">
        <v>0</v>
      </c>
      <c r="K38" s="201">
        <v>1170000</v>
      </c>
      <c r="L38" s="201">
        <f t="shared" si="1"/>
        <v>1170000</v>
      </c>
      <c r="M38" s="201">
        <v>1170000</v>
      </c>
      <c r="N38" s="205">
        <f t="shared" si="2"/>
        <v>770000</v>
      </c>
      <c r="O38" s="206">
        <f t="shared" si="0"/>
        <v>1.925</v>
      </c>
    </row>
    <row r="39" spans="1:15" s="101" customFormat="1" ht="139" customHeight="1" x14ac:dyDescent="0.35">
      <c r="A39" s="202" t="s">
        <v>532</v>
      </c>
      <c r="B39" s="203" t="s">
        <v>303</v>
      </c>
      <c r="C39" s="203" t="s">
        <v>556</v>
      </c>
      <c r="D39" s="204" t="s">
        <v>528</v>
      </c>
      <c r="E39" s="204" t="s">
        <v>394</v>
      </c>
      <c r="F39" s="204" t="s">
        <v>101</v>
      </c>
      <c r="G39" s="204" t="s">
        <v>328</v>
      </c>
      <c r="H39" s="204" t="s">
        <v>564</v>
      </c>
      <c r="I39" s="201">
        <v>1901086.27</v>
      </c>
      <c r="J39" s="201">
        <v>709422.99</v>
      </c>
      <c r="K39" s="201">
        <v>1393171.59</v>
      </c>
      <c r="L39" s="201">
        <f t="shared" si="1"/>
        <v>2102594.58</v>
      </c>
      <c r="M39" s="201">
        <v>0</v>
      </c>
      <c r="N39" s="205">
        <f t="shared" si="2"/>
        <v>201508.31000000006</v>
      </c>
      <c r="O39" s="206">
        <f t="shared" si="0"/>
        <v>0.10599640488698077</v>
      </c>
    </row>
    <row r="40" spans="1:15" s="101" customFormat="1" ht="47.25" customHeight="1" x14ac:dyDescent="0.35">
      <c r="A40" s="202" t="s">
        <v>531</v>
      </c>
      <c r="B40" s="203" t="s">
        <v>303</v>
      </c>
      <c r="C40" s="203" t="s">
        <v>557</v>
      </c>
      <c r="D40" s="204" t="s">
        <v>437</v>
      </c>
      <c r="E40" s="204" t="s">
        <v>394</v>
      </c>
      <c r="F40" s="204" t="s">
        <v>101</v>
      </c>
      <c r="G40" s="204" t="s">
        <v>328</v>
      </c>
      <c r="H40" s="204" t="s">
        <v>398</v>
      </c>
      <c r="I40" s="201">
        <v>1071282.72</v>
      </c>
      <c r="J40" s="201">
        <v>357094.24</v>
      </c>
      <c r="K40" s="201">
        <v>714188.48</v>
      </c>
      <c r="L40" s="201">
        <f t="shared" si="1"/>
        <v>1071282.72</v>
      </c>
      <c r="M40" s="201">
        <v>0</v>
      </c>
      <c r="N40" s="205">
        <f t="shared" si="2"/>
        <v>0</v>
      </c>
      <c r="O40" s="206">
        <f t="shared" si="0"/>
        <v>0</v>
      </c>
    </row>
    <row r="41" spans="1:15" s="101" customFormat="1" ht="47.25" customHeight="1" x14ac:dyDescent="0.35">
      <c r="A41" s="202" t="s">
        <v>531</v>
      </c>
      <c r="B41" s="203" t="s">
        <v>300</v>
      </c>
      <c r="C41" s="203" t="s">
        <v>556</v>
      </c>
      <c r="D41" s="204" t="s">
        <v>395</v>
      </c>
      <c r="E41" s="204" t="s">
        <v>396</v>
      </c>
      <c r="F41" s="204" t="s">
        <v>101</v>
      </c>
      <c r="G41" s="204" t="s">
        <v>328</v>
      </c>
      <c r="H41" s="204" t="s">
        <v>397</v>
      </c>
      <c r="I41" s="201">
        <v>215000</v>
      </c>
      <c r="J41" s="201">
        <v>62816.25</v>
      </c>
      <c r="K41" s="201">
        <v>213323.46000000002</v>
      </c>
      <c r="L41" s="201">
        <f t="shared" si="1"/>
        <v>276139.71000000002</v>
      </c>
      <c r="M41" s="201">
        <v>0</v>
      </c>
      <c r="N41" s="205">
        <f t="shared" si="2"/>
        <v>61139.710000000021</v>
      </c>
      <c r="O41" s="206">
        <f t="shared" si="0"/>
        <v>0.28437074418604663</v>
      </c>
    </row>
    <row r="42" spans="1:15" s="101" customFormat="1" ht="105.65" customHeight="1" x14ac:dyDescent="0.35">
      <c r="A42" s="202" t="s">
        <v>533</v>
      </c>
      <c r="B42" s="203" t="s">
        <v>303</v>
      </c>
      <c r="C42" s="203" t="s">
        <v>556</v>
      </c>
      <c r="D42" s="204" t="s">
        <v>529</v>
      </c>
      <c r="E42" s="204" t="s">
        <v>399</v>
      </c>
      <c r="F42" s="204" t="s">
        <v>102</v>
      </c>
      <c r="G42" s="204" t="s">
        <v>328</v>
      </c>
      <c r="H42" s="204" t="s">
        <v>572</v>
      </c>
      <c r="I42" s="201">
        <v>2590978.67</v>
      </c>
      <c r="J42" s="201">
        <v>633517.87</v>
      </c>
      <c r="K42" s="201">
        <v>1403519.71</v>
      </c>
      <c r="L42" s="201">
        <f t="shared" si="1"/>
        <v>2037037.58</v>
      </c>
      <c r="M42" s="201">
        <v>0</v>
      </c>
      <c r="N42" s="205">
        <f t="shared" si="2"/>
        <v>-553941.08999999985</v>
      </c>
      <c r="O42" s="206">
        <f t="shared" si="0"/>
        <v>-0.21379608269797137</v>
      </c>
    </row>
    <row r="43" spans="1:15" s="101" customFormat="1" ht="47.25" customHeight="1" x14ac:dyDescent="0.35">
      <c r="A43" s="202" t="s">
        <v>530</v>
      </c>
      <c r="B43" s="203" t="s">
        <v>303</v>
      </c>
      <c r="C43" s="203" t="s">
        <v>556</v>
      </c>
      <c r="D43" s="204" t="s">
        <v>438</v>
      </c>
      <c r="E43" s="204" t="s">
        <v>400</v>
      </c>
      <c r="F43" s="204" t="s">
        <v>102</v>
      </c>
      <c r="G43" s="204" t="s">
        <v>338</v>
      </c>
      <c r="H43" s="204" t="s">
        <v>398</v>
      </c>
      <c r="I43" s="201">
        <v>139896.03</v>
      </c>
      <c r="J43" s="201">
        <v>46632</v>
      </c>
      <c r="K43" s="201">
        <v>93264.03</v>
      </c>
      <c r="L43" s="201">
        <f t="shared" si="1"/>
        <v>139896.03</v>
      </c>
      <c r="M43" s="201">
        <v>0</v>
      </c>
      <c r="N43" s="205">
        <f t="shared" si="2"/>
        <v>0</v>
      </c>
      <c r="O43" s="206">
        <f t="shared" si="0"/>
        <v>0</v>
      </c>
    </row>
    <row r="44" spans="1:15" s="101" customFormat="1" ht="78.75" customHeight="1" x14ac:dyDescent="0.35">
      <c r="A44" s="202" t="s">
        <v>533</v>
      </c>
      <c r="B44" s="203" t="s">
        <v>303</v>
      </c>
      <c r="C44" s="203" t="s">
        <v>556</v>
      </c>
      <c r="D44" s="252" t="s">
        <v>498</v>
      </c>
      <c r="E44" s="252" t="s">
        <v>440</v>
      </c>
      <c r="F44" s="204" t="s">
        <v>99</v>
      </c>
      <c r="G44" s="204" t="s">
        <v>340</v>
      </c>
      <c r="H44" s="204" t="s">
        <v>412</v>
      </c>
      <c r="I44" s="201">
        <v>412614.24</v>
      </c>
      <c r="J44" s="201">
        <v>120520.16</v>
      </c>
      <c r="K44" s="201">
        <v>281785.46000000002</v>
      </c>
      <c r="L44" s="201">
        <f t="shared" si="1"/>
        <v>402305.62</v>
      </c>
      <c r="M44" s="201">
        <v>0</v>
      </c>
      <c r="N44" s="205">
        <f t="shared" si="2"/>
        <v>-10308.619999999995</v>
      </c>
      <c r="O44" s="206">
        <f t="shared" si="0"/>
        <v>-2.4983674824213521E-2</v>
      </c>
    </row>
    <row r="45" spans="1:15" s="101" customFormat="1" ht="31.5" customHeight="1" x14ac:dyDescent="0.35">
      <c r="A45" s="202" t="s">
        <v>533</v>
      </c>
      <c r="B45" s="203" t="s">
        <v>303</v>
      </c>
      <c r="C45" s="203" t="s">
        <v>556</v>
      </c>
      <c r="D45" s="204" t="s">
        <v>401</v>
      </c>
      <c r="E45" s="204" t="s">
        <v>402</v>
      </c>
      <c r="F45" s="204" t="s">
        <v>99</v>
      </c>
      <c r="G45" s="204" t="s">
        <v>338</v>
      </c>
      <c r="H45" s="204" t="s">
        <v>403</v>
      </c>
      <c r="I45" s="201">
        <v>998509.5</v>
      </c>
      <c r="J45" s="201">
        <v>297446.38</v>
      </c>
      <c r="K45" s="201">
        <v>627682.90000000014</v>
      </c>
      <c r="L45" s="201">
        <f t="shared" si="1"/>
        <v>925129.28000000014</v>
      </c>
      <c r="M45" s="201">
        <v>0</v>
      </c>
      <c r="N45" s="205">
        <f t="shared" si="2"/>
        <v>-73380.219999999856</v>
      </c>
      <c r="O45" s="206">
        <f t="shared" si="0"/>
        <v>-7.3489756482036331E-2</v>
      </c>
    </row>
    <row r="46" spans="1:15" s="245" customFormat="1" ht="61.5" customHeight="1" x14ac:dyDescent="0.35">
      <c r="A46" s="231" t="s">
        <v>533</v>
      </c>
      <c r="B46" s="240" t="s">
        <v>303</v>
      </c>
      <c r="C46" s="240" t="s">
        <v>558</v>
      </c>
      <c r="D46" s="241" t="s">
        <v>544</v>
      </c>
      <c r="E46" s="241" t="s">
        <v>410</v>
      </c>
      <c r="F46" s="241" t="s">
        <v>109</v>
      </c>
      <c r="G46" s="241" t="s">
        <v>338</v>
      </c>
      <c r="H46" s="241" t="s">
        <v>411</v>
      </c>
      <c r="I46" s="242">
        <v>2835848.21</v>
      </c>
      <c r="J46" s="242">
        <v>930373.78999999992</v>
      </c>
      <c r="K46" s="242">
        <v>0</v>
      </c>
      <c r="L46" s="242">
        <f t="shared" si="1"/>
        <v>930373.78999999992</v>
      </c>
      <c r="M46" s="242">
        <v>0</v>
      </c>
      <c r="N46" s="243">
        <f t="shared" si="2"/>
        <v>-1905474.42</v>
      </c>
      <c r="O46" s="244"/>
    </row>
    <row r="47" spans="1:15" s="101" customFormat="1" ht="124" x14ac:dyDescent="0.35">
      <c r="A47" s="202" t="s">
        <v>533</v>
      </c>
      <c r="B47" s="203" t="s">
        <v>303</v>
      </c>
      <c r="C47" s="203" t="s">
        <v>559</v>
      </c>
      <c r="D47" s="204" t="s">
        <v>534</v>
      </c>
      <c r="E47" s="204" t="s">
        <v>580</v>
      </c>
      <c r="F47" s="204" t="s">
        <v>99</v>
      </c>
      <c r="G47" s="204" t="s">
        <v>338</v>
      </c>
      <c r="H47" s="204" t="s">
        <v>568</v>
      </c>
      <c r="I47" s="201">
        <v>0</v>
      </c>
      <c r="J47" s="201">
        <v>0</v>
      </c>
      <c r="K47" s="201">
        <v>1042933.31</v>
      </c>
      <c r="L47" s="201">
        <f t="shared" si="1"/>
        <v>1042933.31</v>
      </c>
      <c r="M47" s="201">
        <v>0</v>
      </c>
      <c r="N47" s="205">
        <f t="shared" si="2"/>
        <v>1042933.31</v>
      </c>
      <c r="O47" s="206">
        <f t="shared" ref="O47:O56" si="3">IFERROR(N47/I47,)</f>
        <v>0</v>
      </c>
    </row>
    <row r="48" spans="1:15" s="101" customFormat="1" ht="46.5" x14ac:dyDescent="0.35">
      <c r="A48" s="202" t="s">
        <v>533</v>
      </c>
      <c r="B48" s="203" t="s">
        <v>303</v>
      </c>
      <c r="C48" s="203" t="s">
        <v>559</v>
      </c>
      <c r="D48" s="204" t="s">
        <v>535</v>
      </c>
      <c r="E48" s="204" t="s">
        <v>410</v>
      </c>
      <c r="F48" s="204" t="s">
        <v>109</v>
      </c>
      <c r="G48" s="204" t="s">
        <v>338</v>
      </c>
      <c r="H48" s="204" t="s">
        <v>567</v>
      </c>
      <c r="I48" s="201">
        <v>0</v>
      </c>
      <c r="J48" s="201">
        <v>0</v>
      </c>
      <c r="K48" s="201">
        <v>1380561.77</v>
      </c>
      <c r="L48" s="201">
        <f t="shared" si="1"/>
        <v>1380561.77</v>
      </c>
      <c r="M48" s="201">
        <v>0</v>
      </c>
      <c r="N48" s="205">
        <f t="shared" si="2"/>
        <v>1380561.77</v>
      </c>
      <c r="O48" s="206">
        <f t="shared" si="3"/>
        <v>0</v>
      </c>
    </row>
    <row r="49" spans="1:16" s="101" customFormat="1" ht="31.5" customHeight="1" x14ac:dyDescent="0.35">
      <c r="A49" s="202" t="s">
        <v>536</v>
      </c>
      <c r="B49" s="203" t="s">
        <v>303</v>
      </c>
      <c r="C49" s="203" t="s">
        <v>557</v>
      </c>
      <c r="D49" s="204" t="s">
        <v>404</v>
      </c>
      <c r="E49" s="204" t="s">
        <v>405</v>
      </c>
      <c r="F49" s="204" t="s">
        <v>109</v>
      </c>
      <c r="G49" s="204" t="s">
        <v>338</v>
      </c>
      <c r="H49" s="204" t="s">
        <v>406</v>
      </c>
      <c r="I49" s="201">
        <v>256850.45</v>
      </c>
      <c r="J49" s="201">
        <v>85616.8</v>
      </c>
      <c r="K49" s="201">
        <v>171233.65000000002</v>
      </c>
      <c r="L49" s="201">
        <f t="shared" si="1"/>
        <v>256850.45</v>
      </c>
      <c r="M49" s="201">
        <v>0</v>
      </c>
      <c r="N49" s="205">
        <f t="shared" si="2"/>
        <v>0</v>
      </c>
      <c r="O49" s="206">
        <f t="shared" si="3"/>
        <v>0</v>
      </c>
    </row>
    <row r="50" spans="1:16" s="101" customFormat="1" ht="31.5" customHeight="1" x14ac:dyDescent="0.35">
      <c r="A50" s="202" t="s">
        <v>536</v>
      </c>
      <c r="B50" s="203" t="s">
        <v>303</v>
      </c>
      <c r="C50" s="203" t="s">
        <v>557</v>
      </c>
      <c r="D50" s="204" t="s">
        <v>407</v>
      </c>
      <c r="E50" s="204" t="s">
        <v>408</v>
      </c>
      <c r="F50" s="204" t="s">
        <v>109</v>
      </c>
      <c r="G50" s="204" t="s">
        <v>338</v>
      </c>
      <c r="H50" s="204" t="s">
        <v>409</v>
      </c>
      <c r="I50" s="201">
        <v>60000</v>
      </c>
      <c r="J50" s="201">
        <v>0</v>
      </c>
      <c r="K50" s="201">
        <v>60000</v>
      </c>
      <c r="L50" s="201">
        <f t="shared" si="1"/>
        <v>60000</v>
      </c>
      <c r="M50" s="201">
        <v>0</v>
      </c>
      <c r="N50" s="205">
        <f t="shared" si="2"/>
        <v>0</v>
      </c>
      <c r="O50" s="206">
        <f t="shared" si="3"/>
        <v>0</v>
      </c>
    </row>
    <row r="51" spans="1:16" s="101" customFormat="1" ht="47.25" customHeight="1" x14ac:dyDescent="0.35">
      <c r="A51" s="202" t="s">
        <v>533</v>
      </c>
      <c r="B51" s="203" t="s">
        <v>303</v>
      </c>
      <c r="C51" s="203" t="s">
        <v>556</v>
      </c>
      <c r="D51" s="204" t="s">
        <v>500</v>
      </c>
      <c r="E51" s="204" t="s">
        <v>413</v>
      </c>
      <c r="F51" s="204" t="s">
        <v>102</v>
      </c>
      <c r="G51" s="204" t="s">
        <v>328</v>
      </c>
      <c r="H51" s="204" t="s">
        <v>414</v>
      </c>
      <c r="I51" s="201">
        <v>166533.22999999998</v>
      </c>
      <c r="J51" s="201">
        <v>52447.33</v>
      </c>
      <c r="K51" s="201">
        <v>116165.4</v>
      </c>
      <c r="L51" s="201">
        <f t="shared" si="1"/>
        <v>168612.72999999998</v>
      </c>
      <c r="M51" s="201">
        <v>0</v>
      </c>
      <c r="N51" s="205">
        <f t="shared" si="2"/>
        <v>2079.5</v>
      </c>
      <c r="O51" s="206">
        <f t="shared" si="3"/>
        <v>1.24869973398102E-2</v>
      </c>
    </row>
    <row r="52" spans="1:16" s="101" customFormat="1" ht="47.25" customHeight="1" x14ac:dyDescent="0.35">
      <c r="A52" s="202" t="s">
        <v>533</v>
      </c>
      <c r="B52" s="203" t="s">
        <v>303</v>
      </c>
      <c r="C52" s="203" t="s">
        <v>556</v>
      </c>
      <c r="D52" s="204" t="s">
        <v>501</v>
      </c>
      <c r="E52" s="204" t="s">
        <v>415</v>
      </c>
      <c r="F52" s="204" t="s">
        <v>102</v>
      </c>
      <c r="G52" s="204" t="s">
        <v>328</v>
      </c>
      <c r="H52" s="204" t="s">
        <v>414</v>
      </c>
      <c r="I52" s="201">
        <v>215363.76</v>
      </c>
      <c r="J52" s="201">
        <v>58712.29</v>
      </c>
      <c r="K52" s="201">
        <v>127730.94</v>
      </c>
      <c r="L52" s="201">
        <f t="shared" si="1"/>
        <v>186443.23</v>
      </c>
      <c r="M52" s="201">
        <v>0</v>
      </c>
      <c r="N52" s="205">
        <f t="shared" si="2"/>
        <v>-28920.53</v>
      </c>
      <c r="O52" s="206">
        <f t="shared" si="3"/>
        <v>-0.13428689209363728</v>
      </c>
    </row>
    <row r="53" spans="1:16" s="101" customFormat="1" ht="47.25" customHeight="1" x14ac:dyDescent="0.35">
      <c r="A53" s="202" t="s">
        <v>533</v>
      </c>
      <c r="B53" s="203" t="s">
        <v>303</v>
      </c>
      <c r="C53" s="203" t="s">
        <v>556</v>
      </c>
      <c r="D53" s="204" t="s">
        <v>502</v>
      </c>
      <c r="E53" s="204" t="s">
        <v>416</v>
      </c>
      <c r="F53" s="204" t="s">
        <v>102</v>
      </c>
      <c r="G53" s="204" t="s">
        <v>328</v>
      </c>
      <c r="H53" s="204" t="s">
        <v>414</v>
      </c>
      <c r="I53" s="201">
        <v>121017.3</v>
      </c>
      <c r="J53" s="201">
        <v>36111.83</v>
      </c>
      <c r="K53" s="201">
        <v>78833.739999999991</v>
      </c>
      <c r="L53" s="201">
        <f t="shared" si="1"/>
        <v>114945.56999999999</v>
      </c>
      <c r="M53" s="201">
        <v>0</v>
      </c>
      <c r="N53" s="205">
        <f t="shared" si="2"/>
        <v>-6071.7300000000105</v>
      </c>
      <c r="O53" s="206">
        <f t="shared" si="3"/>
        <v>-5.0172413365692427E-2</v>
      </c>
    </row>
    <row r="54" spans="1:16" s="101" customFormat="1" ht="47.25" customHeight="1" x14ac:dyDescent="0.35">
      <c r="A54" s="202" t="s">
        <v>533</v>
      </c>
      <c r="B54" s="203" t="s">
        <v>303</v>
      </c>
      <c r="C54" s="203" t="s">
        <v>556</v>
      </c>
      <c r="D54" s="204" t="s">
        <v>503</v>
      </c>
      <c r="E54" s="204" t="s">
        <v>417</v>
      </c>
      <c r="F54" s="204" t="s">
        <v>102</v>
      </c>
      <c r="G54" s="204" t="s">
        <v>328</v>
      </c>
      <c r="H54" s="204" t="s">
        <v>414</v>
      </c>
      <c r="I54" s="201">
        <v>132902.60999999999</v>
      </c>
      <c r="J54" s="201">
        <v>52544.22</v>
      </c>
      <c r="K54" s="201">
        <v>140254.24</v>
      </c>
      <c r="L54" s="201">
        <f t="shared" si="1"/>
        <v>192798.46</v>
      </c>
      <c r="M54" s="201">
        <v>0</v>
      </c>
      <c r="N54" s="205">
        <f t="shared" si="2"/>
        <v>59895.850000000006</v>
      </c>
      <c r="O54" s="206">
        <f t="shared" si="3"/>
        <v>0.45067474596623808</v>
      </c>
    </row>
    <row r="55" spans="1:16" s="101" customFormat="1" ht="47.25" customHeight="1" x14ac:dyDescent="0.35">
      <c r="A55" s="202" t="s">
        <v>533</v>
      </c>
      <c r="B55" s="203" t="s">
        <v>303</v>
      </c>
      <c r="C55" s="203" t="s">
        <v>556</v>
      </c>
      <c r="D55" s="204" t="s">
        <v>504</v>
      </c>
      <c r="E55" s="204" t="s">
        <v>418</v>
      </c>
      <c r="F55" s="204" t="s">
        <v>102</v>
      </c>
      <c r="G55" s="204" t="s">
        <v>328</v>
      </c>
      <c r="H55" s="204" t="s">
        <v>414</v>
      </c>
      <c r="I55" s="201">
        <v>171474.32</v>
      </c>
      <c r="J55" s="201">
        <v>54919.19</v>
      </c>
      <c r="K55" s="201">
        <v>120340.63999999998</v>
      </c>
      <c r="L55" s="201">
        <f t="shared" si="1"/>
        <v>175259.83</v>
      </c>
      <c r="M55" s="201">
        <v>0</v>
      </c>
      <c r="N55" s="205">
        <f t="shared" si="2"/>
        <v>3785.5099999999802</v>
      </c>
      <c r="O55" s="206">
        <f t="shared" si="3"/>
        <v>2.2076250251349475E-2</v>
      </c>
    </row>
    <row r="56" spans="1:16" s="101" customFormat="1" ht="47.25" customHeight="1" x14ac:dyDescent="0.35">
      <c r="A56" s="202" t="s">
        <v>533</v>
      </c>
      <c r="B56" s="203" t="s">
        <v>303</v>
      </c>
      <c r="C56" s="203" t="s">
        <v>556</v>
      </c>
      <c r="D56" s="204" t="s">
        <v>539</v>
      </c>
      <c r="E56" s="204" t="s">
        <v>579</v>
      </c>
      <c r="F56" s="204" t="s">
        <v>102</v>
      </c>
      <c r="G56" s="204" t="s">
        <v>328</v>
      </c>
      <c r="H56" s="204" t="s">
        <v>571</v>
      </c>
      <c r="I56" s="201">
        <v>63022.240000000005</v>
      </c>
      <c r="J56" s="201">
        <v>0</v>
      </c>
      <c r="K56" s="201">
        <v>32000</v>
      </c>
      <c r="L56" s="201">
        <f t="shared" si="1"/>
        <v>32000</v>
      </c>
      <c r="M56" s="201">
        <v>0</v>
      </c>
      <c r="N56" s="205">
        <f t="shared" si="2"/>
        <v>-31022.240000000005</v>
      </c>
      <c r="O56" s="206">
        <f t="shared" si="3"/>
        <v>-0.4922427384364631</v>
      </c>
    </row>
    <row r="57" spans="1:16" s="101" customFormat="1" ht="26.25" customHeight="1" x14ac:dyDescent="0.35">
      <c r="A57" s="309" t="s">
        <v>114</v>
      </c>
      <c r="B57" s="309"/>
      <c r="C57" s="309"/>
      <c r="D57" s="309"/>
      <c r="E57" s="309"/>
      <c r="F57" s="309"/>
      <c r="G57" s="309"/>
      <c r="H57" s="309"/>
      <c r="I57" s="127">
        <f>SUM(I7:I56)</f>
        <v>17147683.309999995</v>
      </c>
      <c r="J57" s="127">
        <f>SUM(J7:J56)</f>
        <v>4632304.03</v>
      </c>
      <c r="K57" s="127">
        <f>SUM(K7:K56)</f>
        <v>14554409.753587335</v>
      </c>
      <c r="L57" s="127">
        <f>SUM(L7:L56)</f>
        <v>19186713.783587333</v>
      </c>
      <c r="M57" s="127">
        <f>SUM(M7:M56)</f>
        <v>2800000</v>
      </c>
      <c r="N57" s="223">
        <f>L57-I57</f>
        <v>2039030.4735873379</v>
      </c>
      <c r="O57" s="128">
        <f>IFERROR(N57/I57,)</f>
        <v>0.11890996799539905</v>
      </c>
    </row>
    <row r="58" spans="1:16" s="101" customFormat="1" ht="26.15" customHeight="1" x14ac:dyDescent="0.35">
      <c r="A58" s="235" t="s">
        <v>553</v>
      </c>
      <c r="B58" s="235"/>
      <c r="C58" s="235"/>
      <c r="D58" s="235"/>
      <c r="E58" s="235"/>
      <c r="F58" s="235"/>
      <c r="G58" s="235"/>
      <c r="H58" s="235"/>
      <c r="I58" s="235"/>
      <c r="J58" s="236"/>
      <c r="K58" s="236"/>
      <c r="L58" s="237"/>
      <c r="M58" s="236"/>
      <c r="N58" s="236"/>
      <c r="O58" s="238"/>
      <c r="P58" s="235"/>
    </row>
    <row r="59" spans="1:16" s="239" customFormat="1" x14ac:dyDescent="0.6">
      <c r="A59" s="305" t="s">
        <v>554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</row>
    <row r="60" spans="1:16" x14ac:dyDescent="0.6">
      <c r="A60" s="308"/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</row>
  </sheetData>
  <sheetProtection formatCells="0" formatRows="0" insertRows="0" deleteRows="0"/>
  <mergeCells count="19">
    <mergeCell ref="A1:O1"/>
    <mergeCell ref="A4:O4"/>
    <mergeCell ref="A2:O2"/>
    <mergeCell ref="N5:O5"/>
    <mergeCell ref="A5:A6"/>
    <mergeCell ref="B5:B6"/>
    <mergeCell ref="D5:D6"/>
    <mergeCell ref="F5:F6"/>
    <mergeCell ref="E5:E6"/>
    <mergeCell ref="I5:I6"/>
    <mergeCell ref="L5:L6"/>
    <mergeCell ref="G5:G6"/>
    <mergeCell ref="J5:K5"/>
    <mergeCell ref="A59:P59"/>
    <mergeCell ref="C5:C6"/>
    <mergeCell ref="M5:M6"/>
    <mergeCell ref="A60:P60"/>
    <mergeCell ref="A57:H57"/>
    <mergeCell ref="H5:H6"/>
  </mergeCells>
  <phoneticPr fontId="12" type="noConversion"/>
  <conditionalFormatting sqref="J58:O58">
    <cfRule type="cellIs" dxfId="6" priority="1" operator="equal">
      <formula>TRUE</formula>
    </cfRule>
  </conditionalFormatting>
  <dataValidations count="1">
    <dataValidation type="list" allowBlank="1" showInputMessage="1" showErrorMessage="1" sqref="C7:C56" xr:uid="{8FF6F6CA-B482-4179-BB59-B7D20C3B9533}">
      <formula1>"AT, N, R,E,C "</formula1>
    </dataValidation>
  </dataValidations>
  <pageMargins left="0.23622047244094491" right="0.23622047244094491" top="0.27" bottom="0.17" header="0.31496062992125984" footer="0.31496062992125984"/>
  <pageSetup paperSize="9" scale="4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'Validação de dados'!$A$1:$A$17</xm:f>
          </x14:formula1>
          <xm:sqref>G7:G56</xm:sqref>
        </x14:dataValidation>
        <x14:dataValidation type="list" allowBlank="1" showInputMessage="1" showErrorMessage="1" xr:uid="{00000000-0002-0000-0400-000001000000}">
          <x14:formula1>
            <xm:f>'Validação de dados'!$E$1:$E$6</xm:f>
          </x14:formula1>
          <xm:sqref>B7:B56</xm:sqref>
        </x14:dataValidation>
        <x14:dataValidation type="list" allowBlank="1" showInputMessage="1" showErrorMessage="1" xr:uid="{00000000-0002-0000-0400-000002000000}">
          <x14:formula1>
            <xm:f>'Validação de dados'!$D$18:$D$33</xm:f>
          </x14:formula1>
          <xm:sqref>F7:F56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52A4-8B47-4666-9C49-522529EB6DA4}">
  <sheetPr>
    <tabColor rgb="FF92D050"/>
    <pageSetUpPr fitToPage="1"/>
  </sheetPr>
  <dimension ref="A1:L55"/>
  <sheetViews>
    <sheetView showGridLines="0" zoomScale="80" zoomScaleNormal="80" zoomScaleSheetLayoutView="80" workbookViewId="0">
      <selection activeCell="C7" sqref="C7"/>
    </sheetView>
  </sheetViews>
  <sheetFormatPr defaultColWidth="0" defaultRowHeight="15.5" zeroHeight="1" x14ac:dyDescent="0.35"/>
  <cols>
    <col min="1" max="1" width="47" style="75" customWidth="1"/>
    <col min="2" max="7" width="19" style="75" customWidth="1"/>
    <col min="8" max="8" width="18.81640625" style="81" hidden="1" customWidth="1"/>
    <col min="9" max="10" width="0" style="81" hidden="1" customWidth="1"/>
    <col min="11" max="11" width="18.81640625" style="81" hidden="1" customWidth="1"/>
    <col min="12" max="12" width="0" style="81" hidden="1" customWidth="1"/>
    <col min="13" max="16384" width="9.1796875" style="81" hidden="1"/>
  </cols>
  <sheetData>
    <row r="1" spans="1:8" x14ac:dyDescent="0.35">
      <c r="A1" s="329" t="str">
        <f>'Indicadores e Metas'!A1:F1</f>
        <v>CAU/UF:  Conselho de Arquitetura e Urbanismo do Estado de Minas Gerais- CAU/MG</v>
      </c>
      <c r="B1" s="330"/>
      <c r="C1" s="330"/>
      <c r="D1" s="330"/>
      <c r="E1" s="330"/>
      <c r="F1" s="330"/>
      <c r="G1" s="331"/>
    </row>
    <row r="2" spans="1:8" s="82" customFormat="1" x14ac:dyDescent="0.35">
      <c r="A2" s="329" t="s">
        <v>520</v>
      </c>
      <c r="B2" s="330"/>
      <c r="C2" s="330"/>
      <c r="D2" s="330"/>
      <c r="E2" s="330"/>
      <c r="F2" s="330"/>
      <c r="G2" s="331"/>
    </row>
    <row r="3" spans="1:8" s="82" customFormat="1" x14ac:dyDescent="0.35">
      <c r="A3" s="332"/>
      <c r="B3" s="332"/>
      <c r="C3" s="332"/>
      <c r="D3" s="332"/>
      <c r="E3" s="332"/>
      <c r="F3" s="78"/>
      <c r="G3" s="76"/>
    </row>
    <row r="4" spans="1:8" ht="23.25" customHeight="1" x14ac:dyDescent="0.35">
      <c r="A4" s="333" t="s">
        <v>212</v>
      </c>
      <c r="B4" s="334"/>
      <c r="C4" s="337" t="s">
        <v>521</v>
      </c>
      <c r="D4" s="337" t="s">
        <v>213</v>
      </c>
      <c r="E4" s="253" t="s">
        <v>211</v>
      </c>
      <c r="F4" s="253"/>
      <c r="G4" s="340" t="s">
        <v>214</v>
      </c>
    </row>
    <row r="5" spans="1:8" ht="20.25" customHeight="1" x14ac:dyDescent="0.35">
      <c r="A5" s="335"/>
      <c r="B5" s="336"/>
      <c r="C5" s="338"/>
      <c r="D5" s="338"/>
      <c r="E5" s="337" t="s">
        <v>215</v>
      </c>
      <c r="F5" s="340" t="s">
        <v>216</v>
      </c>
      <c r="G5" s="341"/>
    </row>
    <row r="6" spans="1:8" x14ac:dyDescent="0.35">
      <c r="A6" s="323" t="s">
        <v>217</v>
      </c>
      <c r="B6" s="325"/>
      <c r="C6" s="339"/>
      <c r="D6" s="339"/>
      <c r="E6" s="339"/>
      <c r="F6" s="342"/>
      <c r="G6" s="342"/>
    </row>
    <row r="7" spans="1:8" x14ac:dyDescent="0.35">
      <c r="A7" s="320" t="s">
        <v>29</v>
      </c>
      <c r="B7" s="320"/>
      <c r="C7" s="131">
        <f>C8+C18+C19+C20</f>
        <v>15134473.700000001</v>
      </c>
      <c r="D7" s="131">
        <f t="shared" ref="D7" si="0">D8+D18+D19+D20</f>
        <v>15767683.309999999</v>
      </c>
      <c r="E7" s="131">
        <f>D7-C7</f>
        <v>633209.60999999754</v>
      </c>
      <c r="F7" s="134">
        <f>IFERROR(E7/C7,)</f>
        <v>4.1838891959619151E-2</v>
      </c>
      <c r="G7" s="133">
        <f>IFERROR(D7/$D$24,0)</f>
        <v>0.91952265649813891</v>
      </c>
      <c r="H7" s="98" t="s">
        <v>218</v>
      </c>
    </row>
    <row r="8" spans="1:8" x14ac:dyDescent="0.35">
      <c r="A8" s="322" t="s">
        <v>32</v>
      </c>
      <c r="B8" s="322"/>
      <c r="C8" s="131">
        <f>C9+C16+C17</f>
        <v>12985684.140000001</v>
      </c>
      <c r="D8" s="131">
        <f t="shared" ref="D8" si="1">D9+D16+D17</f>
        <v>13810599.309999999</v>
      </c>
      <c r="E8" s="131">
        <f t="shared" ref="E8:E24" si="2">D8-C8</f>
        <v>824915.16999999806</v>
      </c>
      <c r="F8" s="134">
        <f t="shared" ref="F8:F24" si="3">IFERROR(E8/C8,)</f>
        <v>6.3524968042230387E-2</v>
      </c>
      <c r="G8" s="133">
        <f t="shared" ref="G8:G24" si="4">IFERROR(D8/$D$24,0)</f>
        <v>0.8053915540850981</v>
      </c>
      <c r="H8" s="99" t="e">
        <f>D8-#REF!</f>
        <v>#REF!</v>
      </c>
    </row>
    <row r="9" spans="1:8" x14ac:dyDescent="0.35">
      <c r="A9" s="322" t="s">
        <v>35</v>
      </c>
      <c r="B9" s="322"/>
      <c r="C9" s="131">
        <f>C10+C13</f>
        <v>6638088.8400000008</v>
      </c>
      <c r="D9" s="131">
        <f t="shared" ref="D9" si="5">D10+D13</f>
        <v>7006162.6799999997</v>
      </c>
      <c r="E9" s="131">
        <f t="shared" si="2"/>
        <v>368073.83999999892</v>
      </c>
      <c r="F9" s="134">
        <f t="shared" si="3"/>
        <v>5.5448766786917375E-2</v>
      </c>
      <c r="G9" s="133">
        <f t="shared" si="4"/>
        <v>0.4085777975567243</v>
      </c>
      <c r="H9" s="99" t="e">
        <f>D9-#REF!</f>
        <v>#REF!</v>
      </c>
    </row>
    <row r="10" spans="1:8" x14ac:dyDescent="0.35">
      <c r="A10" s="322" t="s">
        <v>38</v>
      </c>
      <c r="B10" s="322"/>
      <c r="C10" s="131">
        <f>SUM(C11:C12)</f>
        <v>6137482.8500000006</v>
      </c>
      <c r="D10" s="131">
        <f t="shared" ref="D10" si="6">SUM(D11:D12)</f>
        <v>6560754.6799999997</v>
      </c>
      <c r="E10" s="131">
        <f t="shared" si="2"/>
        <v>423271.82999999914</v>
      </c>
      <c r="F10" s="134">
        <f t="shared" si="3"/>
        <v>6.8965052993997217E-2</v>
      </c>
      <c r="G10" s="133">
        <f t="shared" si="4"/>
        <v>0.38260297682159611</v>
      </c>
      <c r="H10" s="99" t="e">
        <f>D10-#REF!</f>
        <v>#REF!</v>
      </c>
    </row>
    <row r="11" spans="1:8" x14ac:dyDescent="0.35">
      <c r="A11" s="328" t="s">
        <v>425</v>
      </c>
      <c r="B11" s="328"/>
      <c r="C11" s="126">
        <v>4963999.82</v>
      </c>
      <c r="D11" s="126">
        <v>5661587.5</v>
      </c>
      <c r="E11" s="131">
        <f t="shared" si="2"/>
        <v>697587.6799999997</v>
      </c>
      <c r="F11" s="134">
        <f t="shared" si="3"/>
        <v>0.14052935239631006</v>
      </c>
      <c r="G11" s="133">
        <f t="shared" si="4"/>
        <v>0.33016632029227744</v>
      </c>
      <c r="H11" s="99" t="e">
        <f>D11-#REF!</f>
        <v>#REF!</v>
      </c>
    </row>
    <row r="12" spans="1:8" x14ac:dyDescent="0.35">
      <c r="A12" s="328" t="s">
        <v>43</v>
      </c>
      <c r="B12" s="328"/>
      <c r="C12" s="126">
        <v>1173483.03</v>
      </c>
      <c r="D12" s="126">
        <v>899167.18</v>
      </c>
      <c r="E12" s="131">
        <f t="shared" si="2"/>
        <v>-274315.84999999998</v>
      </c>
      <c r="F12" s="134">
        <f t="shared" si="3"/>
        <v>-0.23376209368788228</v>
      </c>
      <c r="G12" s="133">
        <f t="shared" si="4"/>
        <v>5.2436656529318663E-2</v>
      </c>
      <c r="H12" s="99" t="e">
        <f>D12-#REF!</f>
        <v>#REF!</v>
      </c>
    </row>
    <row r="13" spans="1:8" x14ac:dyDescent="0.35">
      <c r="A13" s="322" t="s">
        <v>46</v>
      </c>
      <c r="B13" s="322"/>
      <c r="C13" s="131">
        <f>SUM(C14:C15)</f>
        <v>500605.99</v>
      </c>
      <c r="D13" s="131">
        <f t="shared" ref="D13" si="7">SUM(D14:D15)</f>
        <v>445408</v>
      </c>
      <c r="E13" s="131">
        <f t="shared" si="2"/>
        <v>-55197.989999999991</v>
      </c>
      <c r="F13" s="134">
        <f t="shared" si="3"/>
        <v>-0.11026234424402311</v>
      </c>
      <c r="G13" s="133">
        <f t="shared" si="4"/>
        <v>2.5974820735128214E-2</v>
      </c>
      <c r="H13" s="99" t="e">
        <f>D13-#REF!</f>
        <v>#REF!</v>
      </c>
    </row>
    <row r="14" spans="1:8" x14ac:dyDescent="0.35">
      <c r="A14" s="328" t="s">
        <v>426</v>
      </c>
      <c r="B14" s="328"/>
      <c r="C14" s="126">
        <v>273501.27</v>
      </c>
      <c r="D14" s="126">
        <v>343751.59</v>
      </c>
      <c r="E14" s="131">
        <f t="shared" si="2"/>
        <v>70250.320000000007</v>
      </c>
      <c r="F14" s="134">
        <f t="shared" si="3"/>
        <v>0.25685555317531067</v>
      </c>
      <c r="G14" s="133">
        <f t="shared" si="4"/>
        <v>2.0046532454884719E-2</v>
      </c>
      <c r="H14" s="99" t="e">
        <f>D14-#REF!</f>
        <v>#REF!</v>
      </c>
    </row>
    <row r="15" spans="1:8" x14ac:dyDescent="0.35">
      <c r="A15" s="328" t="s">
        <v>50</v>
      </c>
      <c r="B15" s="328"/>
      <c r="C15" s="126">
        <v>227104.72</v>
      </c>
      <c r="D15" s="126">
        <v>101656.41</v>
      </c>
      <c r="E15" s="131">
        <f t="shared" si="2"/>
        <v>-125448.31</v>
      </c>
      <c r="F15" s="134">
        <f t="shared" si="3"/>
        <v>-0.55238090163868014</v>
      </c>
      <c r="G15" s="133">
        <f t="shared" si="4"/>
        <v>5.9282882802434971E-3</v>
      </c>
      <c r="H15" s="99" t="e">
        <f>D15-#REF!</f>
        <v>#REF!</v>
      </c>
    </row>
    <row r="16" spans="1:8" x14ac:dyDescent="0.35">
      <c r="A16" s="319" t="s">
        <v>52</v>
      </c>
      <c r="B16" s="319"/>
      <c r="C16" s="126">
        <v>5697563.0499999998</v>
      </c>
      <c r="D16" s="126">
        <v>6123281.4699999997</v>
      </c>
      <c r="E16" s="131">
        <f t="shared" si="2"/>
        <v>425718.41999999993</v>
      </c>
      <c r="F16" s="134">
        <f t="shared" si="3"/>
        <v>7.471938726505184E-2</v>
      </c>
      <c r="G16" s="133">
        <f t="shared" si="4"/>
        <v>0.35709088856505133</v>
      </c>
      <c r="H16" s="99" t="e">
        <f>D16-#REF!</f>
        <v>#REF!</v>
      </c>
    </row>
    <row r="17" spans="1:8" x14ac:dyDescent="0.35">
      <c r="A17" s="319" t="s">
        <v>219</v>
      </c>
      <c r="B17" s="319"/>
      <c r="C17" s="126">
        <v>650032.25</v>
      </c>
      <c r="D17" s="126">
        <v>681155.16</v>
      </c>
      <c r="E17" s="131">
        <f t="shared" si="2"/>
        <v>31122.910000000033</v>
      </c>
      <c r="F17" s="134">
        <f t="shared" si="3"/>
        <v>4.7879024463786272E-2</v>
      </c>
      <c r="G17" s="133">
        <f t="shared" si="4"/>
        <v>3.972286796332257E-2</v>
      </c>
      <c r="H17" s="99" t="e">
        <f>D17-#REF!</f>
        <v>#REF!</v>
      </c>
    </row>
    <row r="18" spans="1:8" x14ac:dyDescent="0.35">
      <c r="A18" s="319" t="s">
        <v>55</v>
      </c>
      <c r="B18" s="319"/>
      <c r="C18" s="126">
        <v>2090000.0099999998</v>
      </c>
      <c r="D18" s="126">
        <v>1900000</v>
      </c>
      <c r="E18" s="131">
        <f t="shared" si="2"/>
        <v>-190000.00999999978</v>
      </c>
      <c r="F18" s="134">
        <f t="shared" si="3"/>
        <v>-9.0909095258808054E-2</v>
      </c>
      <c r="G18" s="133">
        <f t="shared" si="4"/>
        <v>0.11080213960401163</v>
      </c>
      <c r="H18" s="98"/>
    </row>
    <row r="19" spans="1:8" x14ac:dyDescent="0.35">
      <c r="A19" s="319" t="s">
        <v>57</v>
      </c>
      <c r="B19" s="319"/>
      <c r="C19" s="126">
        <v>58789.55</v>
      </c>
      <c r="D19" s="126">
        <v>57084</v>
      </c>
      <c r="E19" s="131">
        <f t="shared" si="2"/>
        <v>-1705.5500000000029</v>
      </c>
      <c r="F19" s="134">
        <f t="shared" si="3"/>
        <v>-2.9011108266690303E-2</v>
      </c>
      <c r="G19" s="133">
        <f t="shared" si="4"/>
        <v>3.3289628090291579E-3</v>
      </c>
      <c r="H19" s="99" t="e">
        <f>D19-#REF!</f>
        <v>#REF!</v>
      </c>
    </row>
    <row r="20" spans="1:8" x14ac:dyDescent="0.35">
      <c r="A20" s="319" t="s">
        <v>59</v>
      </c>
      <c r="B20" s="319"/>
      <c r="C20" s="126">
        <v>0</v>
      </c>
      <c r="D20" s="126">
        <v>0</v>
      </c>
      <c r="E20" s="131">
        <f t="shared" si="2"/>
        <v>0</v>
      </c>
      <c r="F20" s="134">
        <f t="shared" si="3"/>
        <v>0</v>
      </c>
      <c r="G20" s="133">
        <f t="shared" si="4"/>
        <v>0</v>
      </c>
      <c r="H20" s="98"/>
    </row>
    <row r="21" spans="1:8" x14ac:dyDescent="0.35">
      <c r="A21" s="320" t="s">
        <v>220</v>
      </c>
      <c r="B21" s="320"/>
      <c r="C21" s="131">
        <f>SUM(C22:C23)</f>
        <v>2445000</v>
      </c>
      <c r="D21" s="131">
        <f>SUM(D22:D23)</f>
        <v>1380000</v>
      </c>
      <c r="E21" s="131">
        <f t="shared" si="2"/>
        <v>-1065000</v>
      </c>
      <c r="F21" s="134">
        <f t="shared" si="3"/>
        <v>-0.43558282208588955</v>
      </c>
      <c r="G21" s="133">
        <f t="shared" si="4"/>
        <v>8.0477343501861073E-2</v>
      </c>
      <c r="H21" s="98"/>
    </row>
    <row r="22" spans="1:8" x14ac:dyDescent="0.35">
      <c r="A22" s="319" t="s">
        <v>221</v>
      </c>
      <c r="B22" s="319"/>
      <c r="C22" s="126">
        <v>2445000</v>
      </c>
      <c r="D22" s="126">
        <v>1380000</v>
      </c>
      <c r="E22" s="131">
        <f t="shared" si="2"/>
        <v>-1065000</v>
      </c>
      <c r="F22" s="134">
        <f t="shared" si="3"/>
        <v>-0.43558282208588955</v>
      </c>
      <c r="G22" s="133">
        <f t="shared" si="4"/>
        <v>8.0477343501861073E-2</v>
      </c>
      <c r="H22" s="99" t="e">
        <f>D22-#REF!</f>
        <v>#REF!</v>
      </c>
    </row>
    <row r="23" spans="1:8" x14ac:dyDescent="0.35">
      <c r="A23" s="319" t="s">
        <v>222</v>
      </c>
      <c r="B23" s="319"/>
      <c r="C23" s="126">
        <v>0</v>
      </c>
      <c r="D23" s="126">
        <v>0</v>
      </c>
      <c r="E23" s="131">
        <f t="shared" si="2"/>
        <v>0</v>
      </c>
      <c r="F23" s="134">
        <f t="shared" si="3"/>
        <v>0</v>
      </c>
      <c r="G23" s="133">
        <f t="shared" si="4"/>
        <v>0</v>
      </c>
      <c r="H23" s="98"/>
    </row>
    <row r="24" spans="1:8" x14ac:dyDescent="0.35">
      <c r="A24" s="320" t="s">
        <v>223</v>
      </c>
      <c r="B24" s="320"/>
      <c r="C24" s="131">
        <f>SUM(C7,C21)</f>
        <v>17579473.700000003</v>
      </c>
      <c r="D24" s="131">
        <f>SUM(D7,D21)</f>
        <v>17147683.309999999</v>
      </c>
      <c r="E24" s="131">
        <f t="shared" si="2"/>
        <v>-431790.39000000432</v>
      </c>
      <c r="F24" s="134">
        <f t="shared" si="3"/>
        <v>-2.4562190960244971E-2</v>
      </c>
      <c r="G24" s="133">
        <f t="shared" si="4"/>
        <v>1</v>
      </c>
      <c r="H24" s="98"/>
    </row>
    <row r="25" spans="1:8" x14ac:dyDescent="0.35">
      <c r="A25" s="323" t="s">
        <v>224</v>
      </c>
      <c r="B25" s="324"/>
      <c r="C25" s="324"/>
      <c r="D25" s="324"/>
      <c r="E25" s="324"/>
      <c r="F25" s="324"/>
      <c r="G25" s="325"/>
      <c r="H25" s="98"/>
    </row>
    <row r="26" spans="1:8" x14ac:dyDescent="0.35">
      <c r="A26" s="322" t="s">
        <v>225</v>
      </c>
      <c r="B26" s="322"/>
      <c r="C26" s="131">
        <v>16397004.310000006</v>
      </c>
      <c r="D26" s="131">
        <f>SUM(D27:D29)</f>
        <v>17658684.58358733</v>
      </c>
      <c r="E26" s="131">
        <f t="shared" ref="E26:E33" si="8">D26-C26</f>
        <v>1261680.2735873237</v>
      </c>
      <c r="F26" s="134">
        <f t="shared" ref="F26:F33" si="9">IFERROR(E26/C26,)</f>
        <v>7.6945779224920088E-2</v>
      </c>
      <c r="G26" s="134">
        <f>IFERROR(D26/$D$33,0)</f>
        <v>0.9203600357395697</v>
      </c>
      <c r="H26" s="98"/>
    </row>
    <row r="27" spans="1:8" x14ac:dyDescent="0.35">
      <c r="A27" s="322" t="s">
        <v>226</v>
      </c>
      <c r="B27" s="322"/>
      <c r="C27" s="132">
        <v>1149973.04</v>
      </c>
      <c r="D27" s="132">
        <f>SUMIF('Quadro Geral'!$B:$B,"p",'Quadro Geral'!L:L)</f>
        <v>326139.71000000002</v>
      </c>
      <c r="E27" s="131">
        <f t="shared" si="8"/>
        <v>-823833.33000000007</v>
      </c>
      <c r="F27" s="134">
        <f t="shared" si="9"/>
        <v>-0.71639360345352099</v>
      </c>
      <c r="G27" s="134">
        <f t="shared" ref="G27:G33" si="10">IFERROR(D27/$D$33,0)</f>
        <v>1.6998205825063485E-2</v>
      </c>
      <c r="H27" s="98"/>
    </row>
    <row r="28" spans="1:8" x14ac:dyDescent="0.35">
      <c r="A28" s="326" t="s">
        <v>227</v>
      </c>
      <c r="B28" s="327"/>
      <c r="C28" s="132">
        <v>645000</v>
      </c>
      <c r="D28" s="132">
        <f>SUMIF('Quadro Geral'!$B:$B,"pe",'Quadro Geral'!L:L)</f>
        <v>2800000</v>
      </c>
      <c r="E28" s="131">
        <f t="shared" si="8"/>
        <v>2155000</v>
      </c>
      <c r="F28" s="134">
        <f t="shared" si="9"/>
        <v>3.3410852713178296</v>
      </c>
      <c r="G28" s="134">
        <f t="shared" si="10"/>
        <v>0.14593431848632527</v>
      </c>
      <c r="H28" s="98"/>
    </row>
    <row r="29" spans="1:8" x14ac:dyDescent="0.35">
      <c r="A29" s="322" t="s">
        <v>228</v>
      </c>
      <c r="B29" s="322"/>
      <c r="C29" s="132">
        <v>14602031.270000005</v>
      </c>
      <c r="D29" s="132">
        <f>SUMIF('Quadro Geral'!$B:$B,"a",'Quadro Geral'!L:L)-D30-D31-D32</f>
        <v>14532544.873587331</v>
      </c>
      <c r="E29" s="131">
        <f t="shared" si="8"/>
        <v>-69486.396412674338</v>
      </c>
      <c r="F29" s="134">
        <f t="shared" si="9"/>
        <v>-4.7586801540025958E-3</v>
      </c>
      <c r="G29" s="134">
        <f t="shared" si="10"/>
        <v>0.7574275114281811</v>
      </c>
      <c r="H29" s="98"/>
    </row>
    <row r="30" spans="1:8" x14ac:dyDescent="0.35">
      <c r="A30" s="319" t="s">
        <v>229</v>
      </c>
      <c r="B30" s="319"/>
      <c r="C30" s="126">
        <v>177637.15</v>
      </c>
      <c r="D30" s="126">
        <v>256850.45</v>
      </c>
      <c r="E30" s="131">
        <f t="shared" si="8"/>
        <v>79213.300000000017</v>
      </c>
      <c r="F30" s="134">
        <f t="shared" si="9"/>
        <v>0.44592755513134508</v>
      </c>
      <c r="G30" s="134">
        <f t="shared" si="10"/>
        <v>1.3386891204877129E-2</v>
      </c>
      <c r="H30" s="98"/>
    </row>
    <row r="31" spans="1:8" x14ac:dyDescent="0.35">
      <c r="A31" s="319" t="s">
        <v>230</v>
      </c>
      <c r="B31" s="319"/>
      <c r="C31" s="126">
        <v>944832.24</v>
      </c>
      <c r="D31" s="126">
        <v>1211178.75</v>
      </c>
      <c r="E31" s="131">
        <f t="shared" si="8"/>
        <v>266346.51</v>
      </c>
      <c r="F31" s="134">
        <f t="shared" si="9"/>
        <v>0.28189820237294189</v>
      </c>
      <c r="G31" s="134">
        <f t="shared" si="10"/>
        <v>6.3125909087989041E-2</v>
      </c>
      <c r="H31" s="98"/>
    </row>
    <row r="32" spans="1:8" x14ac:dyDescent="0.35">
      <c r="A32" s="319" t="s">
        <v>231</v>
      </c>
      <c r="B32" s="319"/>
      <c r="C32" s="126">
        <v>60000</v>
      </c>
      <c r="D32" s="126">
        <v>60000</v>
      </c>
      <c r="E32" s="131">
        <f t="shared" si="8"/>
        <v>0</v>
      </c>
      <c r="F32" s="134">
        <f t="shared" si="9"/>
        <v>0</v>
      </c>
      <c r="G32" s="134">
        <f t="shared" si="10"/>
        <v>3.1271639675641127E-3</v>
      </c>
      <c r="H32" s="98"/>
    </row>
    <row r="33" spans="1:8" x14ac:dyDescent="0.35">
      <c r="A33" s="320" t="s">
        <v>232</v>
      </c>
      <c r="B33" s="320"/>
      <c r="C33" s="131">
        <v>17579473.700000007</v>
      </c>
      <c r="D33" s="131">
        <f>SUM(D26,D30:D32)</f>
        <v>19186713.783587329</v>
      </c>
      <c r="E33" s="131">
        <f t="shared" si="8"/>
        <v>1607240.0835873224</v>
      </c>
      <c r="F33" s="134">
        <f t="shared" si="9"/>
        <v>9.1427087694173792E-2</v>
      </c>
      <c r="G33" s="134">
        <f t="shared" si="10"/>
        <v>1</v>
      </c>
      <c r="H33" s="98"/>
    </row>
    <row r="34" spans="1:8" x14ac:dyDescent="0.35">
      <c r="A34" s="320" t="s">
        <v>233</v>
      </c>
      <c r="B34" s="320"/>
      <c r="C34" s="131">
        <f>C24-C33</f>
        <v>0</v>
      </c>
      <c r="D34" s="131">
        <f t="shared" ref="D34:E34" si="11">D24-D33</f>
        <v>-2039030.4735873304</v>
      </c>
      <c r="E34" s="131">
        <f t="shared" si="11"/>
        <v>-2039030.4735873267</v>
      </c>
      <c r="F34" s="134"/>
      <c r="G34" s="134"/>
      <c r="H34" s="98"/>
    </row>
    <row r="35" spans="1:8" x14ac:dyDescent="0.35">
      <c r="A35" s="79"/>
      <c r="B35" s="79"/>
      <c r="C35" s="121"/>
      <c r="D35" s="121"/>
      <c r="E35" s="218"/>
      <c r="F35" s="121"/>
      <c r="G35" s="80"/>
    </row>
    <row r="36" spans="1:8" x14ac:dyDescent="0.35">
      <c r="A36" s="321" t="s">
        <v>234</v>
      </c>
      <c r="B36" s="321"/>
      <c r="C36" s="321"/>
      <c r="D36" s="321"/>
      <c r="E36" s="321"/>
      <c r="F36" s="321"/>
      <c r="G36" s="321"/>
    </row>
    <row r="37" spans="1:8" x14ac:dyDescent="0.35">
      <c r="A37" s="312" t="s">
        <v>235</v>
      </c>
      <c r="B37" s="314" t="s">
        <v>236</v>
      </c>
      <c r="C37" s="315"/>
      <c r="D37" s="316"/>
      <c r="E37" s="314" t="s">
        <v>237</v>
      </c>
      <c r="F37" s="315"/>
      <c r="G37" s="316"/>
    </row>
    <row r="38" spans="1:8" ht="46.5" x14ac:dyDescent="0.35">
      <c r="A38" s="313"/>
      <c r="B38" s="110" t="s">
        <v>238</v>
      </c>
      <c r="C38" s="110" t="s">
        <v>239</v>
      </c>
      <c r="D38" s="110" t="s">
        <v>240</v>
      </c>
      <c r="E38" s="110" t="s">
        <v>238</v>
      </c>
      <c r="F38" s="110" t="s">
        <v>239</v>
      </c>
      <c r="G38" s="110" t="s">
        <v>240</v>
      </c>
    </row>
    <row r="39" spans="1:8" x14ac:dyDescent="0.35">
      <c r="A39" s="100" t="s">
        <v>241</v>
      </c>
      <c r="B39" s="135">
        <f>C7</f>
        <v>15134473.700000001</v>
      </c>
      <c r="C39" s="135">
        <f>D7</f>
        <v>15767683.309999999</v>
      </c>
      <c r="D39" s="138">
        <f>IFERROR(C39/B39-1,)</f>
        <v>4.1838891959619096E-2</v>
      </c>
      <c r="E39" s="136">
        <v>15779473.700000005</v>
      </c>
      <c r="F39" s="135">
        <f>'Anexo 3. Elemento de Despesas'!O56</f>
        <v>18516713.776920673</v>
      </c>
      <c r="G39" s="138">
        <f>IFERROR(F39/E39-1,)</f>
        <v>0.17346840135236374</v>
      </c>
    </row>
    <row r="40" spans="1:8" x14ac:dyDescent="0.35">
      <c r="A40" s="100" t="s">
        <v>242</v>
      </c>
      <c r="B40" s="135">
        <f>C21</f>
        <v>2445000</v>
      </c>
      <c r="C40" s="135">
        <f>D21</f>
        <v>1380000</v>
      </c>
      <c r="D40" s="138">
        <f t="shared" ref="D40" si="12">IFERROR(C40/B40-1,)</f>
        <v>-0.43558282208588961</v>
      </c>
      <c r="E40" s="136">
        <v>1800000</v>
      </c>
      <c r="F40" s="135">
        <f>'Anexo 3. Elemento de Despesas'!P56</f>
        <v>670000</v>
      </c>
      <c r="G40" s="138">
        <f t="shared" ref="G40:G41" si="13">IFERROR(F40/E40-1,)</f>
        <v>-0.62777777777777777</v>
      </c>
    </row>
    <row r="41" spans="1:8" x14ac:dyDescent="0.35">
      <c r="A41" s="140" t="s">
        <v>243</v>
      </c>
      <c r="B41" s="141">
        <f>SUM(B39:B40)</f>
        <v>17579473.700000003</v>
      </c>
      <c r="C41" s="141">
        <f>SUM(C39:C40)</f>
        <v>17147683.309999999</v>
      </c>
      <c r="D41" s="139">
        <f>IFERROR(C41/B41-1,)</f>
        <v>-2.4562190960244923E-2</v>
      </c>
      <c r="E41" s="141">
        <f>SUM(E39:E40)</f>
        <v>17579473.700000003</v>
      </c>
      <c r="F41" s="141">
        <f>SUM(F39:F40)</f>
        <v>19186713.776920673</v>
      </c>
      <c r="G41" s="139">
        <f t="shared" si="13"/>
        <v>9.1427087314944533E-2</v>
      </c>
    </row>
    <row r="42" spans="1:8" x14ac:dyDescent="0.35">
      <c r="A42" s="317"/>
      <c r="B42" s="318"/>
      <c r="C42" s="318"/>
      <c r="D42" s="318"/>
      <c r="E42" s="318"/>
      <c r="F42" s="318"/>
      <c r="G42" s="318"/>
    </row>
    <row r="43" spans="1:8" ht="31" x14ac:dyDescent="0.35">
      <c r="A43" s="110" t="s">
        <v>212</v>
      </c>
      <c r="B43" s="110" t="s">
        <v>244</v>
      </c>
      <c r="C43" s="110" t="s">
        <v>245</v>
      </c>
      <c r="D43" s="110" t="s">
        <v>246</v>
      </c>
    </row>
    <row r="44" spans="1:8" x14ac:dyDescent="0.35">
      <c r="A44" s="109" t="s">
        <v>247</v>
      </c>
      <c r="B44" s="137">
        <f>D7</f>
        <v>15767683.309999999</v>
      </c>
      <c r="C44" s="137">
        <f>D21</f>
        <v>1380000</v>
      </c>
      <c r="D44" s="137">
        <f>SUM(B44:C44)</f>
        <v>17147683.309999999</v>
      </c>
    </row>
    <row r="45" spans="1:8" x14ac:dyDescent="0.35">
      <c r="A45" s="109" t="s">
        <v>248</v>
      </c>
      <c r="B45" s="137">
        <f>'Anexo 3. Elemento de Despesas'!O56</f>
        <v>18516713.776920673</v>
      </c>
      <c r="C45" s="137">
        <f>'Anexo 3. Elemento de Despesas'!P56</f>
        <v>670000</v>
      </c>
      <c r="D45" s="137">
        <f>SUM(B45:C45)</f>
        <v>19186713.776920673</v>
      </c>
    </row>
    <row r="46" spans="1:8" x14ac:dyDescent="0.35">
      <c r="A46" s="111" t="s">
        <v>233</v>
      </c>
      <c r="B46" s="142">
        <f>B44-B45</f>
        <v>-2749030.4669206738</v>
      </c>
      <c r="C46" s="142">
        <f t="shared" ref="C46:D46" si="14">C44-C45</f>
        <v>710000</v>
      </c>
      <c r="D46" s="142">
        <f t="shared" si="14"/>
        <v>-2039030.4669206738</v>
      </c>
    </row>
    <row r="47" spans="1:8" x14ac:dyDescent="0.35"/>
    <row r="48" spans="1:8" ht="18" customHeight="1" x14ac:dyDescent="0.35">
      <c r="A48" s="110" t="s">
        <v>249</v>
      </c>
      <c r="B48" s="110" t="s">
        <v>250</v>
      </c>
    </row>
    <row r="49" spans="1:3" x14ac:dyDescent="0.35">
      <c r="A49" s="110" t="s">
        <v>251</v>
      </c>
      <c r="B49" s="137">
        <f>'Diretrizes - Resumo'!AL8</f>
        <v>16972819.699999999</v>
      </c>
      <c r="C49" s="170"/>
    </row>
    <row r="50" spans="1:3" x14ac:dyDescent="0.35">
      <c r="A50" s="110" t="s">
        <v>252</v>
      </c>
      <c r="B50" s="137">
        <f>C45</f>
        <v>670000</v>
      </c>
    </row>
    <row r="51" spans="1:3" x14ac:dyDescent="0.35">
      <c r="A51" s="110" t="s">
        <v>253</v>
      </c>
      <c r="B51" s="102">
        <f>IFERROR(B50/B49,)</f>
        <v>3.9474878767492005E-2</v>
      </c>
    </row>
    <row r="52" spans="1:3" x14ac:dyDescent="0.35">
      <c r="A52" s="110" t="s">
        <v>254</v>
      </c>
      <c r="B52" s="227">
        <f>D28-B50</f>
        <v>2130000</v>
      </c>
    </row>
    <row r="53" spans="1:3" x14ac:dyDescent="0.35">
      <c r="A53" s="110" t="s">
        <v>255</v>
      </c>
      <c r="B53" s="102">
        <f>IFERROR(B52/B49,)</f>
        <v>0.12549476384292235</v>
      </c>
    </row>
    <row r="54" spans="1:3" x14ac:dyDescent="0.35">
      <c r="A54" s="110" t="s">
        <v>256</v>
      </c>
      <c r="B54" s="137">
        <f>B49-B50-B52</f>
        <v>14172819.699999999</v>
      </c>
    </row>
    <row r="55" spans="1:3" hidden="1" x14ac:dyDescent="0.35">
      <c r="A55" s="81"/>
      <c r="B55" s="81"/>
    </row>
  </sheetData>
  <mergeCells count="44">
    <mergeCell ref="A1:G1"/>
    <mergeCell ref="A2:G2"/>
    <mergeCell ref="A3:E3"/>
    <mergeCell ref="A4:B5"/>
    <mergeCell ref="C4:C6"/>
    <mergeCell ref="D4:D6"/>
    <mergeCell ref="E4:F4"/>
    <mergeCell ref="G4:G6"/>
    <mergeCell ref="E5:E6"/>
    <mergeCell ref="F5:F6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G25"/>
    <mergeCell ref="A26:B26"/>
    <mergeCell ref="A27:B27"/>
    <mergeCell ref="A28:B28"/>
    <mergeCell ref="A37:A38"/>
    <mergeCell ref="B37:D37"/>
    <mergeCell ref="E37:G37"/>
    <mergeCell ref="A42:G42"/>
    <mergeCell ref="A30:B30"/>
    <mergeCell ref="A31:B31"/>
    <mergeCell ref="A32:B32"/>
    <mergeCell ref="A33:B33"/>
    <mergeCell ref="A34:B34"/>
    <mergeCell ref="A36:G36"/>
  </mergeCells>
  <conditionalFormatting sqref="C35:F35">
    <cfRule type="cellIs" dxfId="5" priority="1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7">
    <tabColor rgb="FF92D050"/>
    <pageSetUpPr fitToPage="1"/>
  </sheetPr>
  <dimension ref="A1:N55"/>
  <sheetViews>
    <sheetView showGridLines="0" zoomScaleNormal="100" zoomScaleSheetLayoutView="80" workbookViewId="0">
      <selection activeCell="B54" sqref="B54"/>
    </sheetView>
  </sheetViews>
  <sheetFormatPr defaultColWidth="0" defaultRowHeight="15.5" zeroHeight="1" x14ac:dyDescent="0.35"/>
  <cols>
    <col min="1" max="1" width="47" style="75" customWidth="1"/>
    <col min="2" max="9" width="19" style="75" customWidth="1"/>
    <col min="10" max="10" width="18.81640625" style="81" hidden="1" customWidth="1"/>
    <col min="11" max="12" width="0" style="81" hidden="1" customWidth="1"/>
    <col min="13" max="13" width="18.81640625" style="81" hidden="1" customWidth="1"/>
    <col min="14" max="14" width="0" style="81" hidden="1" customWidth="1"/>
    <col min="15" max="16384" width="9.1796875" style="81" hidden="1"/>
  </cols>
  <sheetData>
    <row r="1" spans="1:10" x14ac:dyDescent="0.35">
      <c r="A1" s="329" t="str">
        <f>'Indicadores e Metas'!A1:F1</f>
        <v>CAU/UF:  Conselho de Arquitetura e Urbanismo do Estado de Minas Gerais- CAU/MG</v>
      </c>
      <c r="B1" s="330"/>
      <c r="C1" s="330"/>
      <c r="D1" s="330"/>
      <c r="E1" s="330"/>
      <c r="F1" s="330"/>
      <c r="G1" s="330"/>
      <c r="H1" s="330"/>
      <c r="I1" s="331"/>
    </row>
    <row r="2" spans="1:10" s="82" customFormat="1" x14ac:dyDescent="0.35">
      <c r="A2" s="329" t="s">
        <v>520</v>
      </c>
      <c r="B2" s="330"/>
      <c r="C2" s="330"/>
      <c r="D2" s="330"/>
      <c r="E2" s="330"/>
      <c r="F2" s="330"/>
      <c r="G2" s="330"/>
      <c r="H2" s="330"/>
      <c r="I2" s="331"/>
    </row>
    <row r="3" spans="1:10" s="82" customFormat="1" x14ac:dyDescent="0.35">
      <c r="A3" s="332"/>
      <c r="B3" s="332"/>
      <c r="C3" s="332"/>
      <c r="D3" s="332"/>
      <c r="E3" s="332"/>
      <c r="F3" s="332"/>
      <c r="G3" s="332"/>
      <c r="H3" s="78"/>
      <c r="I3" s="76"/>
    </row>
    <row r="4" spans="1:10" ht="23.25" customHeight="1" x14ac:dyDescent="0.35">
      <c r="A4" s="333" t="s">
        <v>212</v>
      </c>
      <c r="B4" s="334"/>
      <c r="C4" s="337" t="s">
        <v>522</v>
      </c>
      <c r="D4" s="337" t="s">
        <v>582</v>
      </c>
      <c r="E4" s="337" t="s">
        <v>583</v>
      </c>
      <c r="F4" s="337" t="s">
        <v>524</v>
      </c>
      <c r="G4" s="253" t="s">
        <v>550</v>
      </c>
      <c r="H4" s="253"/>
      <c r="I4" s="340" t="s">
        <v>214</v>
      </c>
    </row>
    <row r="5" spans="1:10" ht="20.25" customHeight="1" x14ac:dyDescent="0.35">
      <c r="A5" s="335"/>
      <c r="B5" s="336"/>
      <c r="C5" s="338"/>
      <c r="D5" s="338"/>
      <c r="E5" s="338" t="s">
        <v>523</v>
      </c>
      <c r="F5" s="338"/>
      <c r="G5" s="337" t="s">
        <v>215</v>
      </c>
      <c r="H5" s="340" t="s">
        <v>216</v>
      </c>
      <c r="I5" s="341"/>
    </row>
    <row r="6" spans="1:10" x14ac:dyDescent="0.35">
      <c r="A6" s="323" t="s">
        <v>217</v>
      </c>
      <c r="B6" s="325"/>
      <c r="C6" s="339"/>
      <c r="D6" s="339"/>
      <c r="E6" s="339"/>
      <c r="F6" s="339"/>
      <c r="G6" s="339"/>
      <c r="H6" s="342"/>
      <c r="I6" s="342"/>
    </row>
    <row r="7" spans="1:10" x14ac:dyDescent="0.35">
      <c r="A7" s="320" t="s">
        <v>29</v>
      </c>
      <c r="B7" s="320"/>
      <c r="C7" s="131">
        <f>C8+C18+C19+C20</f>
        <v>15767683.309999999</v>
      </c>
      <c r="D7" s="131">
        <f>D8+D18+D19+D20</f>
        <v>7206171.8300000001</v>
      </c>
      <c r="E7" s="131">
        <f>E8+E18+E19+E20</f>
        <v>9180541.9499999993</v>
      </c>
      <c r="F7" s="131">
        <f t="shared" ref="F7" si="0">F8+F18+F19+F20</f>
        <v>16386713.779999999</v>
      </c>
      <c r="G7" s="131">
        <f>F7-C7</f>
        <v>619030.47000000067</v>
      </c>
      <c r="H7" s="134">
        <f>IFERROR(G7/C7,)</f>
        <v>3.9259443370948874E-2</v>
      </c>
      <c r="I7" s="133">
        <f>IFERROR(F7/$F$24,0)</f>
        <v>0.85406568148638939</v>
      </c>
      <c r="J7" s="98" t="s">
        <v>218</v>
      </c>
    </row>
    <row r="8" spans="1:10" x14ac:dyDescent="0.35">
      <c r="A8" s="322" t="s">
        <v>32</v>
      </c>
      <c r="B8" s="322"/>
      <c r="C8" s="131">
        <f>C9+C16+C17</f>
        <v>13810599.309999999</v>
      </c>
      <c r="D8" s="131">
        <f>D9+D16+D17</f>
        <v>6492149.5499999998</v>
      </c>
      <c r="E8" s="131">
        <f>E9+E16+E17</f>
        <v>7820832.7000000002</v>
      </c>
      <c r="F8" s="131">
        <f t="shared" ref="F8" si="1">F9+F16+F17</f>
        <v>14312982.25</v>
      </c>
      <c r="G8" s="131">
        <f t="shared" ref="G8:G24" si="2">F8-C8</f>
        <v>502382.94000000134</v>
      </c>
      <c r="H8" s="134">
        <f t="shared" ref="H8:H24" si="3">IFERROR(G8/C8,)</f>
        <v>3.6376621225715756E-2</v>
      </c>
      <c r="I8" s="133">
        <f t="shared" ref="I8:I24" si="4">IFERROR(F8/$F$24,0)</f>
        <v>0.74598403948255487</v>
      </c>
      <c r="J8" s="99" t="e">
        <f>F8-#REF!</f>
        <v>#REF!</v>
      </c>
    </row>
    <row r="9" spans="1:10" x14ac:dyDescent="0.35">
      <c r="A9" s="322" t="s">
        <v>35</v>
      </c>
      <c r="B9" s="322"/>
      <c r="C9" s="131">
        <f>C10+C13</f>
        <v>7006162.6799999997</v>
      </c>
      <c r="D9" s="131">
        <f>D10+D13</f>
        <v>4176450</v>
      </c>
      <c r="E9" s="131">
        <f>E10+E13</f>
        <v>3145779.95</v>
      </c>
      <c r="F9" s="131">
        <f t="shared" ref="F9" si="5">F10+F13</f>
        <v>7322229.9500000002</v>
      </c>
      <c r="G9" s="131">
        <f t="shared" si="2"/>
        <v>316067.27000000048</v>
      </c>
      <c r="H9" s="134">
        <f t="shared" si="3"/>
        <v>4.5112750650545916E-2</v>
      </c>
      <c r="I9" s="133">
        <f t="shared" si="4"/>
        <v>0.38163022776899941</v>
      </c>
      <c r="J9" s="99" t="e">
        <f>F9-#REF!</f>
        <v>#REF!</v>
      </c>
    </row>
    <row r="10" spans="1:10" x14ac:dyDescent="0.35">
      <c r="A10" s="322" t="s">
        <v>38</v>
      </c>
      <c r="B10" s="322"/>
      <c r="C10" s="131">
        <f>SUM(C11:C12)</f>
        <v>6560754.6799999997</v>
      </c>
      <c r="D10" s="131">
        <f>SUM(D11:D12)</f>
        <v>3956573.24</v>
      </c>
      <c r="E10" s="131">
        <f>SUM(E11:E12)</f>
        <v>2820491.06</v>
      </c>
      <c r="F10" s="131">
        <f t="shared" ref="F10" si="6">SUM(F11:F12)</f>
        <v>6777064.2999999998</v>
      </c>
      <c r="G10" s="131">
        <f t="shared" si="2"/>
        <v>216309.62000000011</v>
      </c>
      <c r="H10" s="134">
        <f t="shared" si="3"/>
        <v>3.2970234454796001E-2</v>
      </c>
      <c r="I10" s="133">
        <f t="shared" si="4"/>
        <v>0.35321652147979243</v>
      </c>
      <c r="J10" s="99" t="e">
        <f>F10-#REF!</f>
        <v>#REF!</v>
      </c>
    </row>
    <row r="11" spans="1:10" x14ac:dyDescent="0.35">
      <c r="A11" s="328" t="s">
        <v>425</v>
      </c>
      <c r="B11" s="328"/>
      <c r="C11" s="126">
        <v>5661587.5</v>
      </c>
      <c r="D11" s="126">
        <v>3312022.98</v>
      </c>
      <c r="E11" s="126">
        <v>2056046.56</v>
      </c>
      <c r="F11" s="126">
        <f>SUM(D11:E11)</f>
        <v>5368069.54</v>
      </c>
      <c r="G11" s="131">
        <f t="shared" si="2"/>
        <v>-293517.95999999996</v>
      </c>
      <c r="H11" s="134">
        <f t="shared" si="3"/>
        <v>-5.1843755837033337E-2</v>
      </c>
      <c r="I11" s="133">
        <f t="shared" si="4"/>
        <v>0.27978056073341806</v>
      </c>
      <c r="J11" s="99" t="e">
        <f>F11-#REF!</f>
        <v>#REF!</v>
      </c>
    </row>
    <row r="12" spans="1:10" x14ac:dyDescent="0.35">
      <c r="A12" s="328" t="s">
        <v>43</v>
      </c>
      <c r="B12" s="328"/>
      <c r="C12" s="126">
        <v>899167.18</v>
      </c>
      <c r="D12" s="126">
        <v>644550.26</v>
      </c>
      <c r="E12" s="126">
        <v>764444.5</v>
      </c>
      <c r="F12" s="126">
        <f>SUM(D12:E12)</f>
        <v>1408994.76</v>
      </c>
      <c r="G12" s="131">
        <f t="shared" si="2"/>
        <v>509827.57999999996</v>
      </c>
      <c r="H12" s="134">
        <f t="shared" si="3"/>
        <v>0.56699976527168161</v>
      </c>
      <c r="I12" s="133">
        <f t="shared" si="4"/>
        <v>7.343596074637436E-2</v>
      </c>
      <c r="J12" s="99" t="e">
        <f>F12-#REF!</f>
        <v>#REF!</v>
      </c>
    </row>
    <row r="13" spans="1:10" x14ac:dyDescent="0.35">
      <c r="A13" s="322" t="s">
        <v>46</v>
      </c>
      <c r="B13" s="322"/>
      <c r="C13" s="131">
        <f>SUM(C14:C15)</f>
        <v>445408</v>
      </c>
      <c r="D13" s="131">
        <f>SUM(D14:D15)</f>
        <v>219876.76</v>
      </c>
      <c r="E13" s="131">
        <f>SUM(E14:E15)</f>
        <v>325288.89</v>
      </c>
      <c r="F13" s="131">
        <f t="shared" ref="F13" si="7">SUM(F14:F15)</f>
        <v>545165.65</v>
      </c>
      <c r="G13" s="131">
        <f t="shared" si="2"/>
        <v>99757.650000000023</v>
      </c>
      <c r="H13" s="134">
        <f t="shared" si="3"/>
        <v>0.22396914738846185</v>
      </c>
      <c r="I13" s="133">
        <f t="shared" si="4"/>
        <v>2.8413706289206968E-2</v>
      </c>
      <c r="J13" s="99" t="e">
        <f>F13-#REF!</f>
        <v>#REF!</v>
      </c>
    </row>
    <row r="14" spans="1:10" x14ac:dyDescent="0.35">
      <c r="A14" s="328" t="s">
        <v>426</v>
      </c>
      <c r="B14" s="328"/>
      <c r="C14" s="126">
        <v>343751.59</v>
      </c>
      <c r="D14" s="126">
        <v>110268.98</v>
      </c>
      <c r="E14" s="126">
        <v>197924.26</v>
      </c>
      <c r="F14" s="126">
        <f t="shared" ref="F14:F19" si="8">SUM(D14:E14)</f>
        <v>308193.24</v>
      </c>
      <c r="G14" s="131">
        <f t="shared" si="2"/>
        <v>-35558.350000000035</v>
      </c>
      <c r="H14" s="134">
        <f t="shared" si="3"/>
        <v>-0.10344199426103028</v>
      </c>
      <c r="I14" s="133">
        <f t="shared" si="4"/>
        <v>1.6062846589250574E-2</v>
      </c>
      <c r="J14" s="99" t="e">
        <f>F14-#REF!</f>
        <v>#REF!</v>
      </c>
    </row>
    <row r="15" spans="1:10" x14ac:dyDescent="0.35">
      <c r="A15" s="328" t="s">
        <v>50</v>
      </c>
      <c r="B15" s="328"/>
      <c r="C15" s="126">
        <v>101656.41</v>
      </c>
      <c r="D15" s="126">
        <v>109607.78</v>
      </c>
      <c r="E15" s="126">
        <v>127364.63</v>
      </c>
      <c r="F15" s="126">
        <f t="shared" si="8"/>
        <v>236972.41</v>
      </c>
      <c r="G15" s="131">
        <f t="shared" si="2"/>
        <v>135316</v>
      </c>
      <c r="H15" s="134">
        <f t="shared" si="3"/>
        <v>1.3311113386750526</v>
      </c>
      <c r="I15" s="133">
        <f t="shared" si="4"/>
        <v>1.2350859699956394E-2</v>
      </c>
      <c r="J15" s="99" t="e">
        <f>F15-#REF!</f>
        <v>#REF!</v>
      </c>
    </row>
    <row r="16" spans="1:10" x14ac:dyDescent="0.35">
      <c r="A16" s="319" t="s">
        <v>52</v>
      </c>
      <c r="B16" s="319"/>
      <c r="C16" s="126">
        <v>6123281.4699999997</v>
      </c>
      <c r="D16" s="126">
        <v>2059744.45</v>
      </c>
      <c r="E16" s="126">
        <v>4315659.93</v>
      </c>
      <c r="F16" s="126">
        <f t="shared" si="8"/>
        <v>6375404.3799999999</v>
      </c>
      <c r="G16" s="131">
        <f t="shared" si="2"/>
        <v>252122.91000000015</v>
      </c>
      <c r="H16" s="134">
        <f t="shared" si="3"/>
        <v>4.1174476665042176E-2</v>
      </c>
      <c r="I16" s="133">
        <f t="shared" si="4"/>
        <v>0.33228224765856695</v>
      </c>
      <c r="J16" s="99" t="e">
        <f>F16-#REF!</f>
        <v>#REF!</v>
      </c>
    </row>
    <row r="17" spans="1:10" x14ac:dyDescent="0.35">
      <c r="A17" s="319" t="s">
        <v>219</v>
      </c>
      <c r="B17" s="319"/>
      <c r="C17" s="126">
        <v>681155.16</v>
      </c>
      <c r="D17" s="126">
        <v>255955.1</v>
      </c>
      <c r="E17" s="126">
        <v>359392.82</v>
      </c>
      <c r="F17" s="126">
        <f t="shared" si="8"/>
        <v>615347.92000000004</v>
      </c>
      <c r="G17" s="131">
        <f t="shared" si="2"/>
        <v>-65807.239999999991</v>
      </c>
      <c r="H17" s="134">
        <f t="shared" si="3"/>
        <v>-9.6611233188044834E-2</v>
      </c>
      <c r="I17" s="133">
        <f t="shared" si="4"/>
        <v>3.2071564054988476E-2</v>
      </c>
      <c r="J17" s="99" t="e">
        <f>F17-#REF!</f>
        <v>#REF!</v>
      </c>
    </row>
    <row r="18" spans="1:10" x14ac:dyDescent="0.35">
      <c r="A18" s="319" t="s">
        <v>55</v>
      </c>
      <c r="B18" s="319"/>
      <c r="C18" s="126">
        <v>1900000</v>
      </c>
      <c r="D18" s="126">
        <v>678107.86</v>
      </c>
      <c r="E18" s="201">
        <f>2000000-D18</f>
        <v>1321892.1400000001</v>
      </c>
      <c r="F18" s="126">
        <f t="shared" si="8"/>
        <v>2000000</v>
      </c>
      <c r="G18" s="131">
        <f t="shared" si="2"/>
        <v>100000</v>
      </c>
      <c r="H18" s="134">
        <f t="shared" si="3"/>
        <v>5.2631578947368418E-2</v>
      </c>
      <c r="I18" s="133">
        <f t="shared" si="4"/>
        <v>0.10423879893829321</v>
      </c>
      <c r="J18" s="98" t="e">
        <f>F18-#REF!</f>
        <v>#REF!</v>
      </c>
    </row>
    <row r="19" spans="1:10" x14ac:dyDescent="0.35">
      <c r="A19" s="319" t="s">
        <v>57</v>
      </c>
      <c r="B19" s="319"/>
      <c r="C19" s="126">
        <v>57084</v>
      </c>
      <c r="D19" s="126">
        <v>35914.42</v>
      </c>
      <c r="E19" s="126">
        <v>37817.11</v>
      </c>
      <c r="F19" s="126">
        <f t="shared" si="8"/>
        <v>73731.53</v>
      </c>
      <c r="G19" s="131">
        <f t="shared" si="2"/>
        <v>16647.53</v>
      </c>
      <c r="H19" s="134">
        <f t="shared" si="3"/>
        <v>0.2916321561208044</v>
      </c>
      <c r="I19" s="133">
        <f t="shared" si="4"/>
        <v>3.8428430655413673E-3</v>
      </c>
      <c r="J19" s="99" t="e">
        <f>F19-#REF!</f>
        <v>#REF!</v>
      </c>
    </row>
    <row r="20" spans="1:10" x14ac:dyDescent="0.35">
      <c r="A20" s="319" t="s">
        <v>59</v>
      </c>
      <c r="B20" s="319"/>
      <c r="C20" s="126">
        <v>0</v>
      </c>
      <c r="D20" s="126">
        <v>0</v>
      </c>
      <c r="E20" s="126">
        <v>0</v>
      </c>
      <c r="F20" s="126">
        <v>0</v>
      </c>
      <c r="G20" s="131">
        <f t="shared" si="2"/>
        <v>0</v>
      </c>
      <c r="H20" s="134">
        <f t="shared" si="3"/>
        <v>0</v>
      </c>
      <c r="I20" s="133">
        <f t="shared" si="4"/>
        <v>0</v>
      </c>
      <c r="J20" s="98"/>
    </row>
    <row r="21" spans="1:10" x14ac:dyDescent="0.35">
      <c r="A21" s="320" t="s">
        <v>220</v>
      </c>
      <c r="B21" s="320"/>
      <c r="C21" s="131">
        <f>SUM(C22:C23)</f>
        <v>1380000</v>
      </c>
      <c r="D21" s="131">
        <f t="shared" ref="D21:E21" si="9">SUM(D22:D23)</f>
        <v>0</v>
      </c>
      <c r="E21" s="131">
        <f t="shared" si="9"/>
        <v>2800000</v>
      </c>
      <c r="F21" s="131">
        <f>SUM(F22:F23)</f>
        <v>2800000</v>
      </c>
      <c r="G21" s="131">
        <f t="shared" si="2"/>
        <v>1420000</v>
      </c>
      <c r="H21" s="134">
        <f t="shared" si="3"/>
        <v>1.0289855072463767</v>
      </c>
      <c r="I21" s="133">
        <f t="shared" si="4"/>
        <v>0.14593431851361049</v>
      </c>
      <c r="J21" s="98"/>
    </row>
    <row r="22" spans="1:10" x14ac:dyDescent="0.35">
      <c r="A22" s="319" t="s">
        <v>221</v>
      </c>
      <c r="B22" s="319"/>
      <c r="C22" s="126">
        <v>1380000</v>
      </c>
      <c r="D22" s="126">
        <v>0</v>
      </c>
      <c r="E22" s="126">
        <f>'Quadro Geral'!M57</f>
        <v>2800000</v>
      </c>
      <c r="F22" s="126">
        <f>SUM(D22:E22)</f>
        <v>2800000</v>
      </c>
      <c r="G22" s="131">
        <f t="shared" si="2"/>
        <v>1420000</v>
      </c>
      <c r="H22" s="134">
        <f t="shared" si="3"/>
        <v>1.0289855072463767</v>
      </c>
      <c r="I22" s="133">
        <f t="shared" si="4"/>
        <v>0.14593431851361049</v>
      </c>
      <c r="J22" s="99" t="e">
        <f>F22-#REF!</f>
        <v>#REF!</v>
      </c>
    </row>
    <row r="23" spans="1:10" x14ac:dyDescent="0.35">
      <c r="A23" s="319" t="s">
        <v>222</v>
      </c>
      <c r="B23" s="319"/>
      <c r="C23" s="126">
        <v>0</v>
      </c>
      <c r="D23" s="126">
        <v>0</v>
      </c>
      <c r="E23" s="126">
        <v>0</v>
      </c>
      <c r="F23" s="126"/>
      <c r="G23" s="131">
        <f t="shared" si="2"/>
        <v>0</v>
      </c>
      <c r="H23" s="134">
        <f t="shared" si="3"/>
        <v>0</v>
      </c>
      <c r="I23" s="133">
        <f t="shared" si="4"/>
        <v>0</v>
      </c>
      <c r="J23" s="98"/>
    </row>
    <row r="24" spans="1:10" x14ac:dyDescent="0.35">
      <c r="A24" s="320" t="s">
        <v>223</v>
      </c>
      <c r="B24" s="320"/>
      <c r="C24" s="131">
        <f>SUM(C7,C21)</f>
        <v>17147683.309999999</v>
      </c>
      <c r="D24" s="131">
        <f>SUM(D7,D21)</f>
        <v>7206171.8300000001</v>
      </c>
      <c r="E24" s="131">
        <f>SUM(E7,E21)</f>
        <v>11980541.949999999</v>
      </c>
      <c r="F24" s="131">
        <f>SUM(F7,F21)</f>
        <v>19186713.780000001</v>
      </c>
      <c r="G24" s="131">
        <f t="shared" si="2"/>
        <v>2039030.4700000025</v>
      </c>
      <c r="H24" s="134">
        <f t="shared" si="3"/>
        <v>0.1189099677861967</v>
      </c>
      <c r="I24" s="133">
        <f t="shared" si="4"/>
        <v>1</v>
      </c>
      <c r="J24" s="98"/>
    </row>
    <row r="25" spans="1:10" x14ac:dyDescent="0.35">
      <c r="A25" s="323" t="s">
        <v>224</v>
      </c>
      <c r="B25" s="324"/>
      <c r="C25" s="324"/>
      <c r="D25" s="324"/>
      <c r="E25" s="324"/>
      <c r="F25" s="324"/>
      <c r="G25" s="324"/>
      <c r="H25" s="324"/>
      <c r="I25" s="325"/>
      <c r="J25" s="98"/>
    </row>
    <row r="26" spans="1:10" x14ac:dyDescent="0.35">
      <c r="A26" s="322" t="s">
        <v>225</v>
      </c>
      <c r="B26" s="322"/>
      <c r="C26" s="131">
        <f>SUM(C27:C29)</f>
        <v>15619654.109999999</v>
      </c>
      <c r="D26" s="131">
        <f>SUM(D27:D29)</f>
        <v>4142960.99</v>
      </c>
      <c r="E26" s="131">
        <f>SUM(E27:E29)</f>
        <v>13515723.593587333</v>
      </c>
      <c r="F26" s="131">
        <f>SUM(F27:F29)</f>
        <v>17658684.58358733</v>
      </c>
      <c r="G26" s="131">
        <f t="shared" ref="G26" si="10">F26-C26</f>
        <v>2039030.4735873304</v>
      </c>
      <c r="H26" s="134">
        <f t="shared" ref="H26:H33" si="11">IFERROR(G26/C26,)</f>
        <v>0.13054261376261234</v>
      </c>
      <c r="I26" s="134">
        <f>IFERROR(F26/$F$33,0)</f>
        <v>0.9203600357395697</v>
      </c>
      <c r="J26" s="98"/>
    </row>
    <row r="27" spans="1:10" x14ac:dyDescent="0.35">
      <c r="A27" s="322" t="s">
        <v>226</v>
      </c>
      <c r="B27" s="322"/>
      <c r="C27" s="132">
        <f>SUMIF('Quadro Geral'!$B:$B,"p",'Quadro Geral'!I:I)</f>
        <v>245000</v>
      </c>
      <c r="D27" s="132">
        <f>SUMIF('Quadro Geral'!$B:$B,"p",'Quadro Geral'!J:J)</f>
        <v>68333.7</v>
      </c>
      <c r="E27" s="132">
        <f>SUMIF('Quadro Geral'!$B:$B,"p",'Quadro Geral'!K:K)</f>
        <v>257806.01</v>
      </c>
      <c r="F27" s="132">
        <f>SUMIF('Quadro Geral'!$B:$B,"p",'Quadro Geral'!L:L)</f>
        <v>326139.71000000002</v>
      </c>
      <c r="G27" s="131">
        <f t="shared" ref="G27:G33" si="12">F27-C27</f>
        <v>81139.710000000021</v>
      </c>
      <c r="H27" s="134">
        <f t="shared" si="11"/>
        <v>0.33118248979591847</v>
      </c>
      <c r="I27" s="134">
        <f t="shared" ref="I27:I33" si="13">IFERROR(F27/$F$33,0)</f>
        <v>1.6998205825063485E-2</v>
      </c>
      <c r="J27" s="98"/>
    </row>
    <row r="28" spans="1:10" x14ac:dyDescent="0.35">
      <c r="A28" s="326" t="s">
        <v>227</v>
      </c>
      <c r="B28" s="327"/>
      <c r="C28" s="132">
        <f>SUMIF('Quadro Geral'!$B:$B,"pe",'Quadro Geral'!I:I)</f>
        <v>1880000</v>
      </c>
      <c r="D28" s="132">
        <f>SUMIF('Quadro Geral'!$B:$B,"pe",'Quadro Geral'!J:J)</f>
        <v>0</v>
      </c>
      <c r="E28" s="132">
        <f>SUMIF('Quadro Geral'!$B:$B,"pe",'Quadro Geral'!K:K)</f>
        <v>2800000</v>
      </c>
      <c r="F28" s="132">
        <f>SUMIF('Quadro Geral'!$B:$B,"pe",'Quadro Geral'!L:L)</f>
        <v>2800000</v>
      </c>
      <c r="G28" s="131">
        <f t="shared" si="12"/>
        <v>920000</v>
      </c>
      <c r="H28" s="134">
        <f t="shared" si="11"/>
        <v>0.48936170212765956</v>
      </c>
      <c r="I28" s="134">
        <f t="shared" si="13"/>
        <v>0.14593431848632527</v>
      </c>
      <c r="J28" s="98"/>
    </row>
    <row r="29" spans="1:10" x14ac:dyDescent="0.35">
      <c r="A29" s="322" t="s">
        <v>228</v>
      </c>
      <c r="B29" s="322"/>
      <c r="C29" s="132">
        <f>SUMIF('Quadro Geral'!$B:$B,"a",'Quadro Geral'!I:I)-C30-C31-C32</f>
        <v>13494654.109999999</v>
      </c>
      <c r="D29" s="132">
        <f>SUMIF('Quadro Geral'!$B:$B,"a",'Quadro Geral'!J:J)-D30-D31-D32</f>
        <v>4074627.29</v>
      </c>
      <c r="E29" s="132">
        <f>SUMIF('Quadro Geral'!$B:$B,"a",'Quadro Geral'!K:K)-E30-E31-E32</f>
        <v>10457917.583587334</v>
      </c>
      <c r="F29" s="132">
        <f>SUMIF('Quadro Geral'!$B:$B,"a",'Quadro Geral'!L:L)-F30-F31-F32</f>
        <v>14532544.873587331</v>
      </c>
      <c r="G29" s="131">
        <f>F29-C29</f>
        <v>1037890.7635873314</v>
      </c>
      <c r="H29" s="134">
        <f>IFERROR(G29/C29,)</f>
        <v>7.6911253532479865E-2</v>
      </c>
      <c r="I29" s="134">
        <f t="shared" si="13"/>
        <v>0.7574275114281811</v>
      </c>
      <c r="J29" s="98"/>
    </row>
    <row r="30" spans="1:10" x14ac:dyDescent="0.35">
      <c r="A30" s="319" t="s">
        <v>229</v>
      </c>
      <c r="B30" s="319"/>
      <c r="C30" s="126">
        <f>'Quadro Geral'!I49</f>
        <v>256850.45</v>
      </c>
      <c r="D30" s="126">
        <f>'Quadro Geral'!J49</f>
        <v>85616.8</v>
      </c>
      <c r="E30" s="126">
        <f>'Quadro Geral'!K49</f>
        <v>171233.65000000002</v>
      </c>
      <c r="F30" s="126">
        <f>'Quadro Geral'!L49</f>
        <v>256850.45</v>
      </c>
      <c r="G30" s="131">
        <f t="shared" si="12"/>
        <v>0</v>
      </c>
      <c r="H30" s="134">
        <f t="shared" si="11"/>
        <v>0</v>
      </c>
      <c r="I30" s="134">
        <f t="shared" si="13"/>
        <v>1.3386891204877129E-2</v>
      </c>
      <c r="J30" s="98"/>
    </row>
    <row r="31" spans="1:10" x14ac:dyDescent="0.35">
      <c r="A31" s="319" t="s">
        <v>230</v>
      </c>
      <c r="B31" s="319"/>
      <c r="C31" s="126">
        <f>'Quadro Geral'!I40+'Quadro Geral'!I43</f>
        <v>1211178.75</v>
      </c>
      <c r="D31" s="126">
        <f>'Quadro Geral'!J40+'Quadro Geral'!J43</f>
        <v>403726.24</v>
      </c>
      <c r="E31" s="126">
        <f>'Quadro Geral'!K40+'Quadro Geral'!K43</f>
        <v>807452.51</v>
      </c>
      <c r="F31" s="126">
        <f>'Quadro Geral'!L40+'Quadro Geral'!L43</f>
        <v>1211178.75</v>
      </c>
      <c r="G31" s="131">
        <f t="shared" si="12"/>
        <v>0</v>
      </c>
      <c r="H31" s="134">
        <f t="shared" si="11"/>
        <v>0</v>
      </c>
      <c r="I31" s="134">
        <f t="shared" si="13"/>
        <v>6.3125909087989041E-2</v>
      </c>
      <c r="J31" s="98"/>
    </row>
    <row r="32" spans="1:10" x14ac:dyDescent="0.35">
      <c r="A32" s="319" t="s">
        <v>231</v>
      </c>
      <c r="B32" s="319"/>
      <c r="C32" s="126">
        <f>'Quadro Geral'!I50</f>
        <v>60000</v>
      </c>
      <c r="D32" s="126">
        <f>'Quadro Geral'!J50</f>
        <v>0</v>
      </c>
      <c r="E32" s="126">
        <f>'Quadro Geral'!K50</f>
        <v>60000</v>
      </c>
      <c r="F32" s="126">
        <f>'Quadro Geral'!L50</f>
        <v>60000</v>
      </c>
      <c r="G32" s="131">
        <f t="shared" si="12"/>
        <v>0</v>
      </c>
      <c r="H32" s="134">
        <f t="shared" si="11"/>
        <v>0</v>
      </c>
      <c r="I32" s="134">
        <f t="shared" si="13"/>
        <v>3.1271639675641127E-3</v>
      </c>
      <c r="J32" s="98"/>
    </row>
    <row r="33" spans="1:10" x14ac:dyDescent="0.35">
      <c r="A33" s="320" t="s">
        <v>232</v>
      </c>
      <c r="B33" s="320"/>
      <c r="C33" s="131">
        <f>SUM(C26,C30:C32)</f>
        <v>17147683.309999999</v>
      </c>
      <c r="D33" s="131">
        <f>SUM(D26,D30:D32)</f>
        <v>4632304.03</v>
      </c>
      <c r="E33" s="131">
        <f>SUM(E26,E30:E32)</f>
        <v>14554409.753587333</v>
      </c>
      <c r="F33" s="131">
        <f>SUM(F26,F30:F32)</f>
        <v>19186713.783587329</v>
      </c>
      <c r="G33" s="131">
        <f t="shared" si="12"/>
        <v>2039030.4735873304</v>
      </c>
      <c r="H33" s="134">
        <f t="shared" si="11"/>
        <v>0.11890996799539859</v>
      </c>
      <c r="I33" s="134">
        <f t="shared" si="13"/>
        <v>1</v>
      </c>
      <c r="J33" s="98"/>
    </row>
    <row r="34" spans="1:10" x14ac:dyDescent="0.35">
      <c r="A34" s="320" t="s">
        <v>233</v>
      </c>
      <c r="B34" s="320"/>
      <c r="C34" s="131">
        <f>C24-C33</f>
        <v>0</v>
      </c>
      <c r="D34" s="131">
        <f>D24-D33</f>
        <v>2573867.7999999998</v>
      </c>
      <c r="E34" s="131">
        <f>E24-E33</f>
        <v>-2573867.8035873342</v>
      </c>
      <c r="F34" s="131">
        <f t="shared" ref="F34" si="14">F24-F33</f>
        <v>-3.5873278975486755E-3</v>
      </c>
      <c r="G34" s="131">
        <f t="shared" ref="G34" si="15">G24-G33</f>
        <v>-3.5873278975486755E-3</v>
      </c>
      <c r="H34" s="134"/>
      <c r="I34" s="134"/>
      <c r="J34" s="98"/>
    </row>
    <row r="35" spans="1:10" x14ac:dyDescent="0.35">
      <c r="A35" s="79"/>
      <c r="B35" s="79"/>
      <c r="C35" s="121"/>
      <c r="D35" s="121"/>
      <c r="E35" s="121"/>
      <c r="F35" s="121"/>
      <c r="G35" s="218"/>
      <c r="H35" s="121"/>
      <c r="I35" s="80"/>
    </row>
    <row r="36" spans="1:10" s="247" customFormat="1" ht="15.65" customHeight="1" x14ac:dyDescent="0.35">
      <c r="A36" s="314" t="s">
        <v>586</v>
      </c>
      <c r="B36" s="315"/>
      <c r="C36" s="315"/>
      <c r="D36" s="315"/>
      <c r="E36" s="315"/>
      <c r="F36" s="315"/>
      <c r="G36" s="316"/>
      <c r="H36" s="81"/>
      <c r="I36" s="248"/>
    </row>
    <row r="37" spans="1:10" s="247" customFormat="1" x14ac:dyDescent="0.35">
      <c r="A37" s="312" t="s">
        <v>235</v>
      </c>
      <c r="B37" s="314" t="s">
        <v>236</v>
      </c>
      <c r="C37" s="315"/>
      <c r="D37" s="315"/>
      <c r="E37" s="314" t="s">
        <v>237</v>
      </c>
      <c r="F37" s="315"/>
      <c r="G37" s="316"/>
      <c r="H37" s="81"/>
      <c r="I37" s="81"/>
    </row>
    <row r="38" spans="1:10" s="247" customFormat="1" ht="46.5" x14ac:dyDescent="0.35">
      <c r="A38" s="313"/>
      <c r="B38" s="110" t="s">
        <v>584</v>
      </c>
      <c r="C38" s="110" t="s">
        <v>585</v>
      </c>
      <c r="D38" s="110" t="s">
        <v>240</v>
      </c>
      <c r="E38" s="110" t="s">
        <v>584</v>
      </c>
      <c r="F38" s="110" t="s">
        <v>588</v>
      </c>
      <c r="G38" s="110" t="s">
        <v>240</v>
      </c>
      <c r="H38" s="81"/>
      <c r="I38" s="81"/>
    </row>
    <row r="39" spans="1:10" x14ac:dyDescent="0.35">
      <c r="A39" s="100" t="s">
        <v>241</v>
      </c>
      <c r="B39" s="135">
        <f>C7</f>
        <v>15767683.309999999</v>
      </c>
      <c r="C39" s="135">
        <f>F7</f>
        <v>16386713.779999999</v>
      </c>
      <c r="D39" s="138">
        <f>IFERROR(C39/B39-1,)</f>
        <v>3.9259443370948777E-2</v>
      </c>
      <c r="E39" s="136">
        <v>15779473.700000005</v>
      </c>
      <c r="F39" s="135">
        <f>'Anexo 3. Elemento de Despesas'!O56</f>
        <v>18516713.776920673</v>
      </c>
      <c r="G39" s="138">
        <f>IFERROR(F39/E39-1,)</f>
        <v>0.17346840135236374</v>
      </c>
      <c r="H39" s="81"/>
      <c r="I39" s="81"/>
    </row>
    <row r="40" spans="1:10" x14ac:dyDescent="0.35">
      <c r="A40" s="100" t="s">
        <v>242</v>
      </c>
      <c r="B40" s="135">
        <f>C21</f>
        <v>1380000</v>
      </c>
      <c r="C40" s="135">
        <f>F21</f>
        <v>2800000</v>
      </c>
      <c r="D40" s="138">
        <f>IFERROR(C40/B40-1,)</f>
        <v>1.0289855072463769</v>
      </c>
      <c r="E40" s="136">
        <v>1380000</v>
      </c>
      <c r="F40" s="135">
        <f>'Anexo 3. Elemento de Despesas'!P56</f>
        <v>670000</v>
      </c>
      <c r="G40" s="138">
        <f t="shared" ref="G40:G41" si="16">IFERROR(F40/E40-1,)</f>
        <v>-0.51449275362318847</v>
      </c>
      <c r="H40" s="81"/>
      <c r="I40" s="81"/>
    </row>
    <row r="41" spans="1:10" s="247" customFormat="1" x14ac:dyDescent="0.35">
      <c r="A41" s="140" t="s">
        <v>243</v>
      </c>
      <c r="B41" s="141">
        <f>SUM(B39:B40)</f>
        <v>17147683.309999999</v>
      </c>
      <c r="C41" s="141">
        <f>SUM(C39:C40)</f>
        <v>19186713.780000001</v>
      </c>
      <c r="D41" s="139">
        <f>IFERROR(C41/B41-1,)</f>
        <v>0.11890996778619667</v>
      </c>
      <c r="E41" s="141">
        <f>SUM(E39:E40)</f>
        <v>17159473.700000003</v>
      </c>
      <c r="F41" s="141">
        <f>SUM(F39:F40)</f>
        <v>19186713.776920673</v>
      </c>
      <c r="G41" s="139">
        <f t="shared" si="16"/>
        <v>0.1181411570286488</v>
      </c>
      <c r="H41" s="81"/>
      <c r="I41" s="81"/>
    </row>
    <row r="42" spans="1:10" x14ac:dyDescent="0.35">
      <c r="A42" s="317"/>
      <c r="B42" s="318"/>
      <c r="C42" s="318"/>
      <c r="D42" s="318"/>
      <c r="E42" s="318"/>
      <c r="F42" s="318"/>
      <c r="G42" s="318"/>
      <c r="H42" s="318"/>
      <c r="I42" s="318"/>
    </row>
    <row r="43" spans="1:10" ht="31" x14ac:dyDescent="0.35">
      <c r="A43" s="110" t="s">
        <v>212</v>
      </c>
      <c r="B43" s="110" t="s">
        <v>244</v>
      </c>
      <c r="C43" s="110" t="s">
        <v>245</v>
      </c>
      <c r="D43" s="110" t="s">
        <v>246</v>
      </c>
      <c r="H43" s="81"/>
      <c r="I43" s="81"/>
    </row>
    <row r="44" spans="1:10" x14ac:dyDescent="0.35">
      <c r="A44" s="109" t="s">
        <v>247</v>
      </c>
      <c r="B44" s="137">
        <f>F7</f>
        <v>16386713.779999999</v>
      </c>
      <c r="C44" s="137">
        <f>F21</f>
        <v>2800000</v>
      </c>
      <c r="D44" s="137">
        <f>SUM(B44:C44)</f>
        <v>19186713.780000001</v>
      </c>
      <c r="H44" s="81"/>
      <c r="I44" s="81"/>
    </row>
    <row r="45" spans="1:10" x14ac:dyDescent="0.35">
      <c r="A45" s="109" t="s">
        <v>248</v>
      </c>
      <c r="B45" s="137">
        <f>F39</f>
        <v>18516713.776920673</v>
      </c>
      <c r="C45" s="137">
        <v>670000</v>
      </c>
      <c r="D45" s="137">
        <f>D44</f>
        <v>19186713.780000001</v>
      </c>
      <c r="H45" s="81"/>
      <c r="I45" s="81"/>
    </row>
    <row r="46" spans="1:10" x14ac:dyDescent="0.35">
      <c r="A46" s="111" t="s">
        <v>233</v>
      </c>
      <c r="B46" s="142">
        <f>B44-B45</f>
        <v>-2129999.9969206732</v>
      </c>
      <c r="C46" s="142">
        <f t="shared" ref="C46:D46" si="17">C44-C45</f>
        <v>2130000</v>
      </c>
      <c r="D46" s="142">
        <f t="shared" si="17"/>
        <v>0</v>
      </c>
      <c r="H46" s="81"/>
      <c r="I46" s="81"/>
    </row>
    <row r="47" spans="1:10" x14ac:dyDescent="0.35"/>
    <row r="48" spans="1:10" ht="18" customHeight="1" x14ac:dyDescent="0.35">
      <c r="A48" s="110" t="s">
        <v>249</v>
      </c>
      <c r="B48" s="110" t="s">
        <v>250</v>
      </c>
    </row>
    <row r="49" spans="1:5" x14ac:dyDescent="0.35">
      <c r="A49" s="110" t="s">
        <v>589</v>
      </c>
      <c r="B49" s="371">
        <v>17659604.010000002</v>
      </c>
      <c r="C49" s="170"/>
      <c r="D49" s="170"/>
      <c r="E49" s="170"/>
    </row>
    <row r="50" spans="1:5" x14ac:dyDescent="0.35">
      <c r="A50" s="110" t="s">
        <v>252</v>
      </c>
      <c r="B50" s="137">
        <f>C45</f>
        <v>670000</v>
      </c>
    </row>
    <row r="51" spans="1:5" x14ac:dyDescent="0.35">
      <c r="A51" s="110" t="s">
        <v>253</v>
      </c>
      <c r="B51" s="102">
        <f>IFERROR(B50/B49,)</f>
        <v>3.7939695568519144E-2</v>
      </c>
    </row>
    <row r="52" spans="1:5" x14ac:dyDescent="0.35">
      <c r="A52" s="110" t="s">
        <v>254</v>
      </c>
      <c r="B52" s="227">
        <f>F28-B50</f>
        <v>2130000</v>
      </c>
    </row>
    <row r="53" spans="1:5" x14ac:dyDescent="0.35">
      <c r="A53" s="110" t="s">
        <v>255</v>
      </c>
      <c r="B53" s="102">
        <f>IFERROR(B52/B49,)</f>
        <v>0.1206142560611131</v>
      </c>
    </row>
    <row r="54" spans="1:5" x14ac:dyDescent="0.35">
      <c r="A54" s="110" t="s">
        <v>256</v>
      </c>
      <c r="B54" s="137">
        <f>B49-B50-B52</f>
        <v>14859604.010000002</v>
      </c>
    </row>
    <row r="55" spans="1:5" hidden="1" x14ac:dyDescent="0.35">
      <c r="A55" s="81"/>
      <c r="B55" s="81"/>
    </row>
  </sheetData>
  <mergeCells count="46">
    <mergeCell ref="B37:D37"/>
    <mergeCell ref="A36:G36"/>
    <mergeCell ref="E37:G37"/>
    <mergeCell ref="A9:B9"/>
    <mergeCell ref="A10:B10"/>
    <mergeCell ref="A30:B30"/>
    <mergeCell ref="A23:B23"/>
    <mergeCell ref="A24:B24"/>
    <mergeCell ref="A32:B32"/>
    <mergeCell ref="A26:B26"/>
    <mergeCell ref="A28:B28"/>
    <mergeCell ref="A1:I1"/>
    <mergeCell ref="A2:I2"/>
    <mergeCell ref="G4:H4"/>
    <mergeCell ref="A4:B5"/>
    <mergeCell ref="A6:B6"/>
    <mergeCell ref="G5:G6"/>
    <mergeCell ref="F4:F6"/>
    <mergeCell ref="D4:D6"/>
    <mergeCell ref="E4:E6"/>
    <mergeCell ref="A3:G3"/>
    <mergeCell ref="I4:I6"/>
    <mergeCell ref="H5:H6"/>
    <mergeCell ref="C4:C6"/>
    <mergeCell ref="A42:I42"/>
    <mergeCell ref="A31:B31"/>
    <mergeCell ref="A22:B22"/>
    <mergeCell ref="A11:B11"/>
    <mergeCell ref="A12:B12"/>
    <mergeCell ref="A13:B13"/>
    <mergeCell ref="A25:I25"/>
    <mergeCell ref="A33:B33"/>
    <mergeCell ref="A37:A38"/>
    <mergeCell ref="A34:B34"/>
    <mergeCell ref="A20:B20"/>
    <mergeCell ref="A21:B21"/>
    <mergeCell ref="A27:B27"/>
    <mergeCell ref="A29:B29"/>
    <mergeCell ref="A14:B14"/>
    <mergeCell ref="A15:B15"/>
    <mergeCell ref="A7:B7"/>
    <mergeCell ref="A8:B8"/>
    <mergeCell ref="A17:B17"/>
    <mergeCell ref="A18:B18"/>
    <mergeCell ref="A19:B19"/>
    <mergeCell ref="A16:B16"/>
  </mergeCells>
  <phoneticPr fontId="12" type="noConversion"/>
  <conditionalFormatting sqref="C35:H35">
    <cfRule type="cellIs" dxfId="4" priority="8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  <ignoredErrors>
    <ignoredError sqref="C13" formulaRange="1"/>
    <ignoredError sqref="F11:F12 F14:F18" formulaRange="1" unlockedFormula="1"/>
    <ignoredError sqref="F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tabColor rgb="FF92D050"/>
    <pageSetUpPr fitToPage="1"/>
  </sheetPr>
  <dimension ref="A1:WVP41"/>
  <sheetViews>
    <sheetView zoomScale="80" zoomScaleNormal="80" zoomScaleSheetLayoutView="100" workbookViewId="0">
      <selection activeCell="A3" sqref="A3"/>
    </sheetView>
  </sheetViews>
  <sheetFormatPr defaultColWidth="0" defaultRowHeight="15.5" zeroHeight="1" x14ac:dyDescent="0.35"/>
  <cols>
    <col min="1" max="1" width="11" style="50" customWidth="1"/>
    <col min="2" max="2" width="62.81640625" style="50" customWidth="1"/>
    <col min="3" max="3" width="20.1796875" style="50" customWidth="1"/>
    <col min="4" max="5" width="30.453125" style="50" customWidth="1"/>
    <col min="6" max="6" width="10" style="50" bestFit="1" customWidth="1"/>
    <col min="7" max="243" width="9.1796875" style="50" hidden="1"/>
    <col min="244" max="244" width="35.54296875" style="50" hidden="1"/>
    <col min="245" max="245" width="23" style="50" hidden="1"/>
    <col min="246" max="246" width="17.7265625" style="50" hidden="1"/>
    <col min="247" max="247" width="18.453125" style="50" hidden="1"/>
    <col min="248" max="249" width="13.1796875" style="50" hidden="1"/>
    <col min="250" max="250" width="10.7265625" style="50" hidden="1"/>
    <col min="251" max="251" width="40.81640625" style="50" hidden="1"/>
    <col min="252" max="252" width="34.1796875" style="50" hidden="1"/>
    <col min="253" max="253" width="16" style="50" hidden="1"/>
    <col min="254" max="254" width="15.7265625" style="50" hidden="1"/>
    <col min="255" max="255" width="17.453125" style="50" hidden="1"/>
    <col min="256" max="256" width="10.7265625" style="50" hidden="1"/>
    <col min="257" max="257" width="13" style="50" hidden="1"/>
    <col min="258" max="258" width="16.7265625" style="50" hidden="1"/>
    <col min="259" max="499" width="9.1796875" style="50" hidden="1"/>
    <col min="500" max="500" width="35.54296875" style="50" hidden="1"/>
    <col min="501" max="501" width="23" style="50" hidden="1"/>
    <col min="502" max="502" width="17.7265625" style="50" hidden="1"/>
    <col min="503" max="503" width="18.453125" style="50" hidden="1"/>
    <col min="504" max="505" width="13.1796875" style="50" hidden="1"/>
    <col min="506" max="506" width="10.7265625" style="50" hidden="1"/>
    <col min="507" max="507" width="40.81640625" style="50" hidden="1"/>
    <col min="508" max="508" width="34.1796875" style="50" hidden="1"/>
    <col min="509" max="509" width="16" style="50" hidden="1"/>
    <col min="510" max="510" width="15.7265625" style="50" hidden="1"/>
    <col min="511" max="511" width="17.453125" style="50" hidden="1"/>
    <col min="512" max="512" width="10.7265625" style="50" hidden="1"/>
    <col min="513" max="513" width="13" style="50" hidden="1"/>
    <col min="514" max="514" width="16.7265625" style="50" hidden="1"/>
    <col min="515" max="755" width="9.1796875" style="50" hidden="1"/>
    <col min="756" max="756" width="35.54296875" style="50" hidden="1"/>
    <col min="757" max="757" width="23" style="50" hidden="1"/>
    <col min="758" max="758" width="17.7265625" style="50" hidden="1"/>
    <col min="759" max="759" width="18.453125" style="50" hidden="1"/>
    <col min="760" max="761" width="13.1796875" style="50" hidden="1"/>
    <col min="762" max="762" width="10.7265625" style="50" hidden="1"/>
    <col min="763" max="763" width="40.81640625" style="50" hidden="1"/>
    <col min="764" max="764" width="34.1796875" style="50" hidden="1"/>
    <col min="765" max="765" width="16" style="50" hidden="1"/>
    <col min="766" max="766" width="15.7265625" style="50" hidden="1"/>
    <col min="767" max="767" width="17.453125" style="50" hidden="1"/>
    <col min="768" max="768" width="10.7265625" style="50" hidden="1"/>
    <col min="769" max="769" width="13" style="50" hidden="1"/>
    <col min="770" max="770" width="16.7265625" style="50" hidden="1"/>
    <col min="771" max="1011" width="9.1796875" style="50" hidden="1"/>
    <col min="1012" max="1012" width="35.54296875" style="50" hidden="1"/>
    <col min="1013" max="1013" width="23" style="50" hidden="1"/>
    <col min="1014" max="1014" width="17.7265625" style="50" hidden="1"/>
    <col min="1015" max="1015" width="18.453125" style="50" hidden="1"/>
    <col min="1016" max="1017" width="13.1796875" style="50" hidden="1"/>
    <col min="1018" max="1018" width="10.7265625" style="50" hidden="1"/>
    <col min="1019" max="1019" width="40.81640625" style="50" hidden="1"/>
    <col min="1020" max="1020" width="34.1796875" style="50" hidden="1"/>
    <col min="1021" max="1021" width="16" style="50" hidden="1"/>
    <col min="1022" max="1022" width="15.7265625" style="50" hidden="1"/>
    <col min="1023" max="1023" width="17.453125" style="50" hidden="1"/>
    <col min="1024" max="1024" width="10.7265625" style="50" hidden="1"/>
    <col min="1025" max="1025" width="13" style="50" hidden="1"/>
    <col min="1026" max="1026" width="16.7265625" style="50" hidden="1"/>
    <col min="1027" max="1267" width="9.1796875" style="50" hidden="1"/>
    <col min="1268" max="1268" width="35.54296875" style="50" hidden="1"/>
    <col min="1269" max="1269" width="23" style="50" hidden="1"/>
    <col min="1270" max="1270" width="17.7265625" style="50" hidden="1"/>
    <col min="1271" max="1271" width="18.453125" style="50" hidden="1"/>
    <col min="1272" max="1273" width="13.1796875" style="50" hidden="1"/>
    <col min="1274" max="1274" width="10.7265625" style="50" hidden="1"/>
    <col min="1275" max="1275" width="40.81640625" style="50" hidden="1"/>
    <col min="1276" max="1276" width="34.1796875" style="50" hidden="1"/>
    <col min="1277" max="1277" width="16" style="50" hidden="1"/>
    <col min="1278" max="1278" width="15.7265625" style="50" hidden="1"/>
    <col min="1279" max="1279" width="17.453125" style="50" hidden="1"/>
    <col min="1280" max="1280" width="10.7265625" style="50" hidden="1"/>
    <col min="1281" max="1281" width="13" style="50" hidden="1"/>
    <col min="1282" max="1282" width="16.7265625" style="50" hidden="1"/>
    <col min="1283" max="1523" width="9.1796875" style="50" hidden="1"/>
    <col min="1524" max="1524" width="35.54296875" style="50" hidden="1"/>
    <col min="1525" max="1525" width="23" style="50" hidden="1"/>
    <col min="1526" max="1526" width="17.7265625" style="50" hidden="1"/>
    <col min="1527" max="1527" width="18.453125" style="50" hidden="1"/>
    <col min="1528" max="1529" width="13.1796875" style="50" hidden="1"/>
    <col min="1530" max="1530" width="10.7265625" style="50" hidden="1"/>
    <col min="1531" max="1531" width="40.81640625" style="50" hidden="1"/>
    <col min="1532" max="1532" width="34.1796875" style="50" hidden="1"/>
    <col min="1533" max="1533" width="16" style="50" hidden="1"/>
    <col min="1534" max="1534" width="15.7265625" style="50" hidden="1"/>
    <col min="1535" max="1535" width="17.453125" style="50" hidden="1"/>
    <col min="1536" max="1536" width="10.7265625" style="50" hidden="1"/>
    <col min="1537" max="1537" width="13" style="50" hidden="1"/>
    <col min="1538" max="1538" width="16.7265625" style="50" hidden="1"/>
    <col min="1539" max="1779" width="9.1796875" style="50" hidden="1"/>
    <col min="1780" max="1780" width="35.54296875" style="50" hidden="1"/>
    <col min="1781" max="1781" width="23" style="50" hidden="1"/>
    <col min="1782" max="1782" width="17.7265625" style="50" hidden="1"/>
    <col min="1783" max="1783" width="18.453125" style="50" hidden="1"/>
    <col min="1784" max="1785" width="13.1796875" style="50" hidden="1"/>
    <col min="1786" max="1786" width="10.7265625" style="50" hidden="1"/>
    <col min="1787" max="1787" width="40.81640625" style="50" hidden="1"/>
    <col min="1788" max="1788" width="34.1796875" style="50" hidden="1"/>
    <col min="1789" max="1789" width="16" style="50" hidden="1"/>
    <col min="1790" max="1790" width="15.7265625" style="50" hidden="1"/>
    <col min="1791" max="1791" width="17.453125" style="50" hidden="1"/>
    <col min="1792" max="1792" width="10.7265625" style="50" hidden="1"/>
    <col min="1793" max="1793" width="13" style="50" hidden="1"/>
    <col min="1794" max="1794" width="16.7265625" style="50" hidden="1"/>
    <col min="1795" max="2035" width="9.1796875" style="50" hidden="1"/>
    <col min="2036" max="2036" width="35.54296875" style="50" hidden="1"/>
    <col min="2037" max="2037" width="23" style="50" hidden="1"/>
    <col min="2038" max="2038" width="17.7265625" style="50" hidden="1"/>
    <col min="2039" max="2039" width="18.453125" style="50" hidden="1"/>
    <col min="2040" max="2041" width="13.1796875" style="50" hidden="1"/>
    <col min="2042" max="2042" width="10.7265625" style="50" hidden="1"/>
    <col min="2043" max="2043" width="40.81640625" style="50" hidden="1"/>
    <col min="2044" max="2044" width="34.1796875" style="50" hidden="1"/>
    <col min="2045" max="2045" width="16" style="50" hidden="1"/>
    <col min="2046" max="2046" width="15.7265625" style="50" hidden="1"/>
    <col min="2047" max="2047" width="17.453125" style="50" hidden="1"/>
    <col min="2048" max="2048" width="10.7265625" style="50" hidden="1"/>
    <col min="2049" max="2049" width="13" style="50" hidden="1"/>
    <col min="2050" max="2050" width="16.7265625" style="50" hidden="1"/>
    <col min="2051" max="2291" width="9.1796875" style="50" hidden="1"/>
    <col min="2292" max="2292" width="35.54296875" style="50" hidden="1"/>
    <col min="2293" max="2293" width="23" style="50" hidden="1"/>
    <col min="2294" max="2294" width="17.7265625" style="50" hidden="1"/>
    <col min="2295" max="2295" width="18.453125" style="50" hidden="1"/>
    <col min="2296" max="2297" width="13.1796875" style="50" hidden="1"/>
    <col min="2298" max="2298" width="10.7265625" style="50" hidden="1"/>
    <col min="2299" max="2299" width="40.81640625" style="50" hidden="1"/>
    <col min="2300" max="2300" width="34.1796875" style="50" hidden="1"/>
    <col min="2301" max="2301" width="16" style="50" hidden="1"/>
    <col min="2302" max="2302" width="15.7265625" style="50" hidden="1"/>
    <col min="2303" max="2303" width="17.453125" style="50" hidden="1"/>
    <col min="2304" max="2304" width="10.7265625" style="50" hidden="1"/>
    <col min="2305" max="2305" width="13" style="50" hidden="1"/>
    <col min="2306" max="2306" width="16.7265625" style="50" hidden="1"/>
    <col min="2307" max="2547" width="9.1796875" style="50" hidden="1"/>
    <col min="2548" max="2548" width="35.54296875" style="50" hidden="1"/>
    <col min="2549" max="2549" width="23" style="50" hidden="1"/>
    <col min="2550" max="2550" width="17.7265625" style="50" hidden="1"/>
    <col min="2551" max="2551" width="18.453125" style="50" hidden="1"/>
    <col min="2552" max="2553" width="13.1796875" style="50" hidden="1"/>
    <col min="2554" max="2554" width="10.7265625" style="50" hidden="1"/>
    <col min="2555" max="2555" width="40.81640625" style="50" hidden="1"/>
    <col min="2556" max="2556" width="34.1796875" style="50" hidden="1"/>
    <col min="2557" max="2557" width="16" style="50" hidden="1"/>
    <col min="2558" max="2558" width="15.7265625" style="50" hidden="1"/>
    <col min="2559" max="2559" width="17.453125" style="50" hidden="1"/>
    <col min="2560" max="2560" width="10.7265625" style="50" hidden="1"/>
    <col min="2561" max="2561" width="13" style="50" hidden="1"/>
    <col min="2562" max="2562" width="16.7265625" style="50" hidden="1"/>
    <col min="2563" max="2803" width="9.1796875" style="50" hidden="1"/>
    <col min="2804" max="2804" width="35.54296875" style="50" hidden="1"/>
    <col min="2805" max="2805" width="23" style="50" hidden="1"/>
    <col min="2806" max="2806" width="17.7265625" style="50" hidden="1"/>
    <col min="2807" max="2807" width="18.453125" style="50" hidden="1"/>
    <col min="2808" max="2809" width="13.1796875" style="50" hidden="1"/>
    <col min="2810" max="2810" width="10.7265625" style="50" hidden="1"/>
    <col min="2811" max="2811" width="40.81640625" style="50" hidden="1"/>
    <col min="2812" max="2812" width="34.1796875" style="50" hidden="1"/>
    <col min="2813" max="2813" width="16" style="50" hidden="1"/>
    <col min="2814" max="2814" width="15.7265625" style="50" hidden="1"/>
    <col min="2815" max="2815" width="17.453125" style="50" hidden="1"/>
    <col min="2816" max="2816" width="10.7265625" style="50" hidden="1"/>
    <col min="2817" max="2817" width="13" style="50" hidden="1"/>
    <col min="2818" max="2818" width="16.7265625" style="50" hidden="1"/>
    <col min="2819" max="3059" width="9.1796875" style="50" hidden="1"/>
    <col min="3060" max="3060" width="35.54296875" style="50" hidden="1"/>
    <col min="3061" max="3061" width="23" style="50" hidden="1"/>
    <col min="3062" max="3062" width="17.7265625" style="50" hidden="1"/>
    <col min="3063" max="3063" width="18.453125" style="50" hidden="1"/>
    <col min="3064" max="3065" width="13.1796875" style="50" hidden="1"/>
    <col min="3066" max="3066" width="10.7265625" style="50" hidden="1"/>
    <col min="3067" max="3067" width="40.81640625" style="50" hidden="1"/>
    <col min="3068" max="3068" width="34.1796875" style="50" hidden="1"/>
    <col min="3069" max="3069" width="16" style="50" hidden="1"/>
    <col min="3070" max="3070" width="15.7265625" style="50" hidden="1"/>
    <col min="3071" max="3071" width="17.453125" style="50" hidden="1"/>
    <col min="3072" max="3072" width="10.7265625" style="50" hidden="1"/>
    <col min="3073" max="3073" width="13" style="50" hidden="1"/>
    <col min="3074" max="3074" width="16.7265625" style="50" hidden="1"/>
    <col min="3075" max="3315" width="9.1796875" style="50" hidden="1"/>
    <col min="3316" max="3316" width="35.54296875" style="50" hidden="1"/>
    <col min="3317" max="3317" width="23" style="50" hidden="1"/>
    <col min="3318" max="3318" width="17.7265625" style="50" hidden="1"/>
    <col min="3319" max="3319" width="18.453125" style="50" hidden="1"/>
    <col min="3320" max="3321" width="13.1796875" style="50" hidden="1"/>
    <col min="3322" max="3322" width="10.7265625" style="50" hidden="1"/>
    <col min="3323" max="3323" width="40.81640625" style="50" hidden="1"/>
    <col min="3324" max="3324" width="34.1796875" style="50" hidden="1"/>
    <col min="3325" max="3325" width="16" style="50" hidden="1"/>
    <col min="3326" max="3326" width="15.7265625" style="50" hidden="1"/>
    <col min="3327" max="3327" width="17.453125" style="50" hidden="1"/>
    <col min="3328" max="3328" width="10.7265625" style="50" hidden="1"/>
    <col min="3329" max="3329" width="13" style="50" hidden="1"/>
    <col min="3330" max="3330" width="16.7265625" style="50" hidden="1"/>
    <col min="3331" max="3571" width="9.1796875" style="50" hidden="1"/>
    <col min="3572" max="3572" width="35.54296875" style="50" hidden="1"/>
    <col min="3573" max="3573" width="23" style="50" hidden="1"/>
    <col min="3574" max="3574" width="17.7265625" style="50" hidden="1"/>
    <col min="3575" max="3575" width="18.453125" style="50" hidden="1"/>
    <col min="3576" max="3577" width="13.1796875" style="50" hidden="1"/>
    <col min="3578" max="3578" width="10.7265625" style="50" hidden="1"/>
    <col min="3579" max="3579" width="40.81640625" style="50" hidden="1"/>
    <col min="3580" max="3580" width="34.1796875" style="50" hidden="1"/>
    <col min="3581" max="3581" width="16" style="50" hidden="1"/>
    <col min="3582" max="3582" width="15.7265625" style="50" hidden="1"/>
    <col min="3583" max="3583" width="17.453125" style="50" hidden="1"/>
    <col min="3584" max="3584" width="10.7265625" style="50" hidden="1"/>
    <col min="3585" max="3585" width="13" style="50" hidden="1"/>
    <col min="3586" max="3586" width="16.7265625" style="50" hidden="1"/>
    <col min="3587" max="3827" width="9.1796875" style="50" hidden="1"/>
    <col min="3828" max="3828" width="35.54296875" style="50" hidden="1"/>
    <col min="3829" max="3829" width="23" style="50" hidden="1"/>
    <col min="3830" max="3830" width="17.7265625" style="50" hidden="1"/>
    <col min="3831" max="3831" width="18.453125" style="50" hidden="1"/>
    <col min="3832" max="3833" width="13.1796875" style="50" hidden="1"/>
    <col min="3834" max="3834" width="10.7265625" style="50" hidden="1"/>
    <col min="3835" max="3835" width="40.81640625" style="50" hidden="1"/>
    <col min="3836" max="3836" width="34.1796875" style="50" hidden="1"/>
    <col min="3837" max="3837" width="16" style="50" hidden="1"/>
    <col min="3838" max="3838" width="15.7265625" style="50" hidden="1"/>
    <col min="3839" max="3839" width="17.453125" style="50" hidden="1"/>
    <col min="3840" max="3840" width="10.7265625" style="50" hidden="1"/>
    <col min="3841" max="3841" width="13" style="50" hidden="1"/>
    <col min="3842" max="3842" width="16.7265625" style="50" hidden="1"/>
    <col min="3843" max="4083" width="9.1796875" style="50" hidden="1"/>
    <col min="4084" max="4084" width="35.54296875" style="50" hidden="1"/>
    <col min="4085" max="4085" width="23" style="50" hidden="1"/>
    <col min="4086" max="4086" width="17.7265625" style="50" hidden="1"/>
    <col min="4087" max="4087" width="18.453125" style="50" hidden="1"/>
    <col min="4088" max="4089" width="13.1796875" style="50" hidden="1"/>
    <col min="4090" max="4090" width="10.7265625" style="50" hidden="1"/>
    <col min="4091" max="4091" width="40.81640625" style="50" hidden="1"/>
    <col min="4092" max="4092" width="34.1796875" style="50" hidden="1"/>
    <col min="4093" max="4093" width="16" style="50" hidden="1"/>
    <col min="4094" max="4094" width="15.7265625" style="50" hidden="1"/>
    <col min="4095" max="4095" width="17.453125" style="50" hidden="1"/>
    <col min="4096" max="4096" width="10.7265625" style="50" hidden="1"/>
    <col min="4097" max="4097" width="13" style="50" hidden="1"/>
    <col min="4098" max="4098" width="16.7265625" style="50" hidden="1"/>
    <col min="4099" max="4339" width="9.1796875" style="50" hidden="1"/>
    <col min="4340" max="4340" width="35.54296875" style="50" hidden="1"/>
    <col min="4341" max="4341" width="23" style="50" hidden="1"/>
    <col min="4342" max="4342" width="17.7265625" style="50" hidden="1"/>
    <col min="4343" max="4343" width="18.453125" style="50" hidden="1"/>
    <col min="4344" max="4345" width="13.1796875" style="50" hidden="1"/>
    <col min="4346" max="4346" width="10.7265625" style="50" hidden="1"/>
    <col min="4347" max="4347" width="40.81640625" style="50" hidden="1"/>
    <col min="4348" max="4348" width="34.1796875" style="50" hidden="1"/>
    <col min="4349" max="4349" width="16" style="50" hidden="1"/>
    <col min="4350" max="4350" width="15.7265625" style="50" hidden="1"/>
    <col min="4351" max="4351" width="17.453125" style="50" hidden="1"/>
    <col min="4352" max="4352" width="10.7265625" style="50" hidden="1"/>
    <col min="4353" max="4353" width="13" style="50" hidden="1"/>
    <col min="4354" max="4354" width="16.7265625" style="50" hidden="1"/>
    <col min="4355" max="4595" width="9.1796875" style="50" hidden="1"/>
    <col min="4596" max="4596" width="35.54296875" style="50" hidden="1"/>
    <col min="4597" max="4597" width="23" style="50" hidden="1"/>
    <col min="4598" max="4598" width="17.7265625" style="50" hidden="1"/>
    <col min="4599" max="4599" width="18.453125" style="50" hidden="1"/>
    <col min="4600" max="4601" width="13.1796875" style="50" hidden="1"/>
    <col min="4602" max="4602" width="10.7265625" style="50" hidden="1"/>
    <col min="4603" max="4603" width="40.81640625" style="50" hidden="1"/>
    <col min="4604" max="4604" width="34.1796875" style="50" hidden="1"/>
    <col min="4605" max="4605" width="16" style="50" hidden="1"/>
    <col min="4606" max="4606" width="15.7265625" style="50" hidden="1"/>
    <col min="4607" max="4607" width="17.453125" style="50" hidden="1"/>
    <col min="4608" max="4608" width="10.7265625" style="50" hidden="1"/>
    <col min="4609" max="4609" width="13" style="50" hidden="1"/>
    <col min="4610" max="4610" width="16.7265625" style="50" hidden="1"/>
    <col min="4611" max="4851" width="9.1796875" style="50" hidden="1"/>
    <col min="4852" max="4852" width="35.54296875" style="50" hidden="1"/>
    <col min="4853" max="4853" width="23" style="50" hidden="1"/>
    <col min="4854" max="4854" width="17.7265625" style="50" hidden="1"/>
    <col min="4855" max="4855" width="18.453125" style="50" hidden="1"/>
    <col min="4856" max="4857" width="13.1796875" style="50" hidden="1"/>
    <col min="4858" max="4858" width="10.7265625" style="50" hidden="1"/>
    <col min="4859" max="4859" width="40.81640625" style="50" hidden="1"/>
    <col min="4860" max="4860" width="34.1796875" style="50" hidden="1"/>
    <col min="4861" max="4861" width="16" style="50" hidden="1"/>
    <col min="4862" max="4862" width="15.7265625" style="50" hidden="1"/>
    <col min="4863" max="4863" width="17.453125" style="50" hidden="1"/>
    <col min="4864" max="4864" width="10.7265625" style="50" hidden="1"/>
    <col min="4865" max="4865" width="13" style="50" hidden="1"/>
    <col min="4866" max="4866" width="16.7265625" style="50" hidden="1"/>
    <col min="4867" max="5107" width="9.1796875" style="50" hidden="1"/>
    <col min="5108" max="5108" width="35.54296875" style="50" hidden="1"/>
    <col min="5109" max="5109" width="23" style="50" hidden="1"/>
    <col min="5110" max="5110" width="17.7265625" style="50" hidden="1"/>
    <col min="5111" max="5111" width="18.453125" style="50" hidden="1"/>
    <col min="5112" max="5113" width="13.1796875" style="50" hidden="1"/>
    <col min="5114" max="5114" width="10.7265625" style="50" hidden="1"/>
    <col min="5115" max="5115" width="40.81640625" style="50" hidden="1"/>
    <col min="5116" max="5116" width="34.1796875" style="50" hidden="1"/>
    <col min="5117" max="5117" width="16" style="50" hidden="1"/>
    <col min="5118" max="5118" width="15.7265625" style="50" hidden="1"/>
    <col min="5119" max="5119" width="17.453125" style="50" hidden="1"/>
    <col min="5120" max="5120" width="10.7265625" style="50" hidden="1"/>
    <col min="5121" max="5121" width="13" style="50" hidden="1"/>
    <col min="5122" max="5122" width="16.7265625" style="50" hidden="1"/>
    <col min="5123" max="5363" width="9.1796875" style="50" hidden="1"/>
    <col min="5364" max="5364" width="35.54296875" style="50" hidden="1"/>
    <col min="5365" max="5365" width="23" style="50" hidden="1"/>
    <col min="5366" max="5366" width="17.7265625" style="50" hidden="1"/>
    <col min="5367" max="5367" width="18.453125" style="50" hidden="1"/>
    <col min="5368" max="5369" width="13.1796875" style="50" hidden="1"/>
    <col min="5370" max="5370" width="10.7265625" style="50" hidden="1"/>
    <col min="5371" max="5371" width="40.81640625" style="50" hidden="1"/>
    <col min="5372" max="5372" width="34.1796875" style="50" hidden="1"/>
    <col min="5373" max="5373" width="16" style="50" hidden="1"/>
    <col min="5374" max="5374" width="15.7265625" style="50" hidden="1"/>
    <col min="5375" max="5375" width="17.453125" style="50" hidden="1"/>
    <col min="5376" max="5376" width="10.7265625" style="50" hidden="1"/>
    <col min="5377" max="5377" width="13" style="50" hidden="1"/>
    <col min="5378" max="5378" width="16.7265625" style="50" hidden="1"/>
    <col min="5379" max="5619" width="9.1796875" style="50" hidden="1"/>
    <col min="5620" max="5620" width="35.54296875" style="50" hidden="1"/>
    <col min="5621" max="5621" width="23" style="50" hidden="1"/>
    <col min="5622" max="5622" width="17.7265625" style="50" hidden="1"/>
    <col min="5623" max="5623" width="18.453125" style="50" hidden="1"/>
    <col min="5624" max="5625" width="13.1796875" style="50" hidden="1"/>
    <col min="5626" max="5626" width="10.7265625" style="50" hidden="1"/>
    <col min="5627" max="5627" width="40.81640625" style="50" hidden="1"/>
    <col min="5628" max="5628" width="34.1796875" style="50" hidden="1"/>
    <col min="5629" max="5629" width="16" style="50" hidden="1"/>
    <col min="5630" max="5630" width="15.7265625" style="50" hidden="1"/>
    <col min="5631" max="5631" width="17.453125" style="50" hidden="1"/>
    <col min="5632" max="5632" width="10.7265625" style="50" hidden="1"/>
    <col min="5633" max="5633" width="13" style="50" hidden="1"/>
    <col min="5634" max="5634" width="16.7265625" style="50" hidden="1"/>
    <col min="5635" max="5875" width="9.1796875" style="50" hidden="1"/>
    <col min="5876" max="5876" width="35.54296875" style="50" hidden="1"/>
    <col min="5877" max="5877" width="23" style="50" hidden="1"/>
    <col min="5878" max="5878" width="17.7265625" style="50" hidden="1"/>
    <col min="5879" max="5879" width="18.453125" style="50" hidden="1"/>
    <col min="5880" max="5881" width="13.1796875" style="50" hidden="1"/>
    <col min="5882" max="5882" width="10.7265625" style="50" hidden="1"/>
    <col min="5883" max="5883" width="40.81640625" style="50" hidden="1"/>
    <col min="5884" max="5884" width="34.1796875" style="50" hidden="1"/>
    <col min="5885" max="5885" width="16" style="50" hidden="1"/>
    <col min="5886" max="5886" width="15.7265625" style="50" hidden="1"/>
    <col min="5887" max="5887" width="17.453125" style="50" hidden="1"/>
    <col min="5888" max="5888" width="10.7265625" style="50" hidden="1"/>
    <col min="5889" max="5889" width="13" style="50" hidden="1"/>
    <col min="5890" max="5890" width="16.7265625" style="50" hidden="1"/>
    <col min="5891" max="6131" width="9.1796875" style="50" hidden="1"/>
    <col min="6132" max="6132" width="35.54296875" style="50" hidden="1"/>
    <col min="6133" max="6133" width="23" style="50" hidden="1"/>
    <col min="6134" max="6134" width="17.7265625" style="50" hidden="1"/>
    <col min="6135" max="6135" width="18.453125" style="50" hidden="1"/>
    <col min="6136" max="6137" width="13.1796875" style="50" hidden="1"/>
    <col min="6138" max="6138" width="10.7265625" style="50" hidden="1"/>
    <col min="6139" max="6139" width="40.81640625" style="50" hidden="1"/>
    <col min="6140" max="6140" width="34.1796875" style="50" hidden="1"/>
    <col min="6141" max="6141" width="16" style="50" hidden="1"/>
    <col min="6142" max="6142" width="15.7265625" style="50" hidden="1"/>
    <col min="6143" max="6143" width="17.453125" style="50" hidden="1"/>
    <col min="6144" max="6144" width="10.7265625" style="50" hidden="1"/>
    <col min="6145" max="6145" width="13" style="50" hidden="1"/>
    <col min="6146" max="6146" width="16.7265625" style="50" hidden="1"/>
    <col min="6147" max="6387" width="9.1796875" style="50" hidden="1"/>
    <col min="6388" max="6388" width="35.54296875" style="50" hidden="1"/>
    <col min="6389" max="6389" width="23" style="50" hidden="1"/>
    <col min="6390" max="6390" width="17.7265625" style="50" hidden="1"/>
    <col min="6391" max="6391" width="18.453125" style="50" hidden="1"/>
    <col min="6392" max="6393" width="13.1796875" style="50" hidden="1"/>
    <col min="6394" max="6394" width="10.7265625" style="50" hidden="1"/>
    <col min="6395" max="6395" width="40.81640625" style="50" hidden="1"/>
    <col min="6396" max="6396" width="34.1796875" style="50" hidden="1"/>
    <col min="6397" max="6397" width="16" style="50" hidden="1"/>
    <col min="6398" max="6398" width="15.7265625" style="50" hidden="1"/>
    <col min="6399" max="6399" width="17.453125" style="50" hidden="1"/>
    <col min="6400" max="6400" width="10.7265625" style="50" hidden="1"/>
    <col min="6401" max="6401" width="13" style="50" hidden="1"/>
    <col min="6402" max="6402" width="16.7265625" style="50" hidden="1"/>
    <col min="6403" max="6643" width="9.1796875" style="50" hidden="1"/>
    <col min="6644" max="6644" width="35.54296875" style="50" hidden="1"/>
    <col min="6645" max="6645" width="23" style="50" hidden="1"/>
    <col min="6646" max="6646" width="17.7265625" style="50" hidden="1"/>
    <col min="6647" max="6647" width="18.453125" style="50" hidden="1"/>
    <col min="6648" max="6649" width="13.1796875" style="50" hidden="1"/>
    <col min="6650" max="6650" width="10.7265625" style="50" hidden="1"/>
    <col min="6651" max="6651" width="40.81640625" style="50" hidden="1"/>
    <col min="6652" max="6652" width="34.1796875" style="50" hidden="1"/>
    <col min="6653" max="6653" width="16" style="50" hidden="1"/>
    <col min="6654" max="6654" width="15.7265625" style="50" hidden="1"/>
    <col min="6655" max="6655" width="17.453125" style="50" hidden="1"/>
    <col min="6656" max="6656" width="10.7265625" style="50" hidden="1"/>
    <col min="6657" max="6657" width="13" style="50" hidden="1"/>
    <col min="6658" max="6658" width="16.7265625" style="50" hidden="1"/>
    <col min="6659" max="6899" width="9.1796875" style="50" hidden="1"/>
    <col min="6900" max="6900" width="35.54296875" style="50" hidden="1"/>
    <col min="6901" max="6901" width="23" style="50" hidden="1"/>
    <col min="6902" max="6902" width="17.7265625" style="50" hidden="1"/>
    <col min="6903" max="6903" width="18.453125" style="50" hidden="1"/>
    <col min="6904" max="6905" width="13.1796875" style="50" hidden="1"/>
    <col min="6906" max="6906" width="10.7265625" style="50" hidden="1"/>
    <col min="6907" max="6907" width="40.81640625" style="50" hidden="1"/>
    <col min="6908" max="6908" width="34.1796875" style="50" hidden="1"/>
    <col min="6909" max="6909" width="16" style="50" hidden="1"/>
    <col min="6910" max="6910" width="15.7265625" style="50" hidden="1"/>
    <col min="6911" max="6911" width="17.453125" style="50" hidden="1"/>
    <col min="6912" max="6912" width="10.7265625" style="50" hidden="1"/>
    <col min="6913" max="6913" width="13" style="50" hidden="1"/>
    <col min="6914" max="6914" width="16.7265625" style="50" hidden="1"/>
    <col min="6915" max="7155" width="9.1796875" style="50" hidden="1"/>
    <col min="7156" max="7156" width="35.54296875" style="50" hidden="1"/>
    <col min="7157" max="7157" width="23" style="50" hidden="1"/>
    <col min="7158" max="7158" width="17.7265625" style="50" hidden="1"/>
    <col min="7159" max="7159" width="18.453125" style="50" hidden="1"/>
    <col min="7160" max="7161" width="13.1796875" style="50" hidden="1"/>
    <col min="7162" max="7162" width="10.7265625" style="50" hidden="1"/>
    <col min="7163" max="7163" width="40.81640625" style="50" hidden="1"/>
    <col min="7164" max="7164" width="34.1796875" style="50" hidden="1"/>
    <col min="7165" max="7165" width="16" style="50" hidden="1"/>
    <col min="7166" max="7166" width="15.7265625" style="50" hidden="1"/>
    <col min="7167" max="7167" width="17.453125" style="50" hidden="1"/>
    <col min="7168" max="7168" width="10.7265625" style="50" hidden="1"/>
    <col min="7169" max="7169" width="13" style="50" hidden="1"/>
    <col min="7170" max="7170" width="16.7265625" style="50" hidden="1"/>
    <col min="7171" max="7411" width="9.1796875" style="50" hidden="1"/>
    <col min="7412" max="7412" width="35.54296875" style="50" hidden="1"/>
    <col min="7413" max="7413" width="23" style="50" hidden="1"/>
    <col min="7414" max="7414" width="17.7265625" style="50" hidden="1"/>
    <col min="7415" max="7415" width="18.453125" style="50" hidden="1"/>
    <col min="7416" max="7417" width="13.1796875" style="50" hidden="1"/>
    <col min="7418" max="7418" width="10.7265625" style="50" hidden="1"/>
    <col min="7419" max="7419" width="40.81640625" style="50" hidden="1"/>
    <col min="7420" max="7420" width="34.1796875" style="50" hidden="1"/>
    <col min="7421" max="7421" width="16" style="50" hidden="1"/>
    <col min="7422" max="7422" width="15.7265625" style="50" hidden="1"/>
    <col min="7423" max="7423" width="17.453125" style="50" hidden="1"/>
    <col min="7424" max="7424" width="10.7265625" style="50" hidden="1"/>
    <col min="7425" max="7425" width="13" style="50" hidden="1"/>
    <col min="7426" max="7426" width="16.7265625" style="50" hidden="1"/>
    <col min="7427" max="7667" width="9.1796875" style="50" hidden="1"/>
    <col min="7668" max="7668" width="35.54296875" style="50" hidden="1"/>
    <col min="7669" max="7669" width="23" style="50" hidden="1"/>
    <col min="7670" max="7670" width="17.7265625" style="50" hidden="1"/>
    <col min="7671" max="7671" width="18.453125" style="50" hidden="1"/>
    <col min="7672" max="7673" width="13.1796875" style="50" hidden="1"/>
    <col min="7674" max="7674" width="10.7265625" style="50" hidden="1"/>
    <col min="7675" max="7675" width="40.81640625" style="50" hidden="1"/>
    <col min="7676" max="7676" width="34.1796875" style="50" hidden="1"/>
    <col min="7677" max="7677" width="16" style="50" hidden="1"/>
    <col min="7678" max="7678" width="15.7265625" style="50" hidden="1"/>
    <col min="7679" max="7679" width="17.453125" style="50" hidden="1"/>
    <col min="7680" max="7680" width="10.7265625" style="50" hidden="1"/>
    <col min="7681" max="7681" width="13" style="50" hidden="1"/>
    <col min="7682" max="7682" width="16.7265625" style="50" hidden="1"/>
    <col min="7683" max="7923" width="9.1796875" style="50" hidden="1"/>
    <col min="7924" max="7924" width="35.54296875" style="50" hidden="1"/>
    <col min="7925" max="7925" width="23" style="50" hidden="1"/>
    <col min="7926" max="7926" width="17.7265625" style="50" hidden="1"/>
    <col min="7927" max="7927" width="18.453125" style="50" hidden="1"/>
    <col min="7928" max="7929" width="13.1796875" style="50" hidden="1"/>
    <col min="7930" max="7930" width="10.7265625" style="50" hidden="1"/>
    <col min="7931" max="7931" width="40.81640625" style="50" hidden="1"/>
    <col min="7932" max="7932" width="34.1796875" style="50" hidden="1"/>
    <col min="7933" max="7933" width="16" style="50" hidden="1"/>
    <col min="7934" max="7934" width="15.7265625" style="50" hidden="1"/>
    <col min="7935" max="7935" width="17.453125" style="50" hidden="1"/>
    <col min="7936" max="7936" width="10.7265625" style="50" hidden="1"/>
    <col min="7937" max="7937" width="13" style="50" hidden="1"/>
    <col min="7938" max="7938" width="16.7265625" style="50" hidden="1"/>
    <col min="7939" max="8179" width="9.1796875" style="50" hidden="1"/>
    <col min="8180" max="8180" width="35.54296875" style="50" hidden="1"/>
    <col min="8181" max="8181" width="23" style="50" hidden="1"/>
    <col min="8182" max="8182" width="17.7265625" style="50" hidden="1"/>
    <col min="8183" max="8183" width="18.453125" style="50" hidden="1"/>
    <col min="8184" max="8185" width="13.1796875" style="50" hidden="1"/>
    <col min="8186" max="8186" width="10.7265625" style="50" hidden="1"/>
    <col min="8187" max="8187" width="40.81640625" style="50" hidden="1"/>
    <col min="8188" max="8188" width="34.1796875" style="50" hidden="1"/>
    <col min="8189" max="8189" width="16" style="50" hidden="1"/>
    <col min="8190" max="8190" width="15.7265625" style="50" hidden="1"/>
    <col min="8191" max="8191" width="17.453125" style="50" hidden="1"/>
    <col min="8192" max="8192" width="10.7265625" style="50" hidden="1"/>
    <col min="8193" max="8193" width="13" style="50" hidden="1"/>
    <col min="8194" max="8194" width="16.7265625" style="50" hidden="1"/>
    <col min="8195" max="8435" width="9.1796875" style="50" hidden="1"/>
    <col min="8436" max="8436" width="35.54296875" style="50" hidden="1"/>
    <col min="8437" max="8437" width="23" style="50" hidden="1"/>
    <col min="8438" max="8438" width="17.7265625" style="50" hidden="1"/>
    <col min="8439" max="8439" width="18.453125" style="50" hidden="1"/>
    <col min="8440" max="8441" width="13.1796875" style="50" hidden="1"/>
    <col min="8442" max="8442" width="10.7265625" style="50" hidden="1"/>
    <col min="8443" max="8443" width="40.81640625" style="50" hidden="1"/>
    <col min="8444" max="8444" width="34.1796875" style="50" hidden="1"/>
    <col min="8445" max="8445" width="16" style="50" hidden="1"/>
    <col min="8446" max="8446" width="15.7265625" style="50" hidden="1"/>
    <col min="8447" max="8447" width="17.453125" style="50" hidden="1"/>
    <col min="8448" max="8448" width="10.7265625" style="50" hidden="1"/>
    <col min="8449" max="8449" width="13" style="50" hidden="1"/>
    <col min="8450" max="8450" width="16.7265625" style="50" hidden="1"/>
    <col min="8451" max="8691" width="9.1796875" style="50" hidden="1"/>
    <col min="8692" max="8692" width="35.54296875" style="50" hidden="1"/>
    <col min="8693" max="8693" width="23" style="50" hidden="1"/>
    <col min="8694" max="8694" width="17.7265625" style="50" hidden="1"/>
    <col min="8695" max="8695" width="18.453125" style="50" hidden="1"/>
    <col min="8696" max="8697" width="13.1796875" style="50" hidden="1"/>
    <col min="8698" max="8698" width="10.7265625" style="50" hidden="1"/>
    <col min="8699" max="8699" width="40.81640625" style="50" hidden="1"/>
    <col min="8700" max="8700" width="34.1796875" style="50" hidden="1"/>
    <col min="8701" max="8701" width="16" style="50" hidden="1"/>
    <col min="8702" max="8702" width="15.7265625" style="50" hidden="1"/>
    <col min="8703" max="8703" width="17.453125" style="50" hidden="1"/>
    <col min="8704" max="8704" width="10.7265625" style="50" hidden="1"/>
    <col min="8705" max="8705" width="13" style="50" hidden="1"/>
    <col min="8706" max="8706" width="16.7265625" style="50" hidden="1"/>
    <col min="8707" max="8947" width="9.1796875" style="50" hidden="1"/>
    <col min="8948" max="8948" width="35.54296875" style="50" hidden="1"/>
    <col min="8949" max="8949" width="23" style="50" hidden="1"/>
    <col min="8950" max="8950" width="17.7265625" style="50" hidden="1"/>
    <col min="8951" max="8951" width="18.453125" style="50" hidden="1"/>
    <col min="8952" max="8953" width="13.1796875" style="50" hidden="1"/>
    <col min="8954" max="8954" width="10.7265625" style="50" hidden="1"/>
    <col min="8955" max="8955" width="40.81640625" style="50" hidden="1"/>
    <col min="8956" max="8956" width="34.1796875" style="50" hidden="1"/>
    <col min="8957" max="8957" width="16" style="50" hidden="1"/>
    <col min="8958" max="8958" width="15.7265625" style="50" hidden="1"/>
    <col min="8959" max="8959" width="17.453125" style="50" hidden="1"/>
    <col min="8960" max="8960" width="10.7265625" style="50" hidden="1"/>
    <col min="8961" max="8961" width="13" style="50" hidden="1"/>
    <col min="8962" max="8962" width="16.7265625" style="50" hidden="1"/>
    <col min="8963" max="9203" width="9.1796875" style="50" hidden="1"/>
    <col min="9204" max="9204" width="35.54296875" style="50" hidden="1"/>
    <col min="9205" max="9205" width="23" style="50" hidden="1"/>
    <col min="9206" max="9206" width="17.7265625" style="50" hidden="1"/>
    <col min="9207" max="9207" width="18.453125" style="50" hidden="1"/>
    <col min="9208" max="9209" width="13.1796875" style="50" hidden="1"/>
    <col min="9210" max="9210" width="10.7265625" style="50" hidden="1"/>
    <col min="9211" max="9211" width="40.81640625" style="50" hidden="1"/>
    <col min="9212" max="9212" width="34.1796875" style="50" hidden="1"/>
    <col min="9213" max="9213" width="16" style="50" hidden="1"/>
    <col min="9214" max="9214" width="15.7265625" style="50" hidden="1"/>
    <col min="9215" max="9215" width="17.453125" style="50" hidden="1"/>
    <col min="9216" max="9216" width="10.7265625" style="50" hidden="1"/>
    <col min="9217" max="9217" width="13" style="50" hidden="1"/>
    <col min="9218" max="9218" width="16.7265625" style="50" hidden="1"/>
    <col min="9219" max="9459" width="9.1796875" style="50" hidden="1"/>
    <col min="9460" max="9460" width="35.54296875" style="50" hidden="1"/>
    <col min="9461" max="9461" width="23" style="50" hidden="1"/>
    <col min="9462" max="9462" width="17.7265625" style="50" hidden="1"/>
    <col min="9463" max="9463" width="18.453125" style="50" hidden="1"/>
    <col min="9464" max="9465" width="13.1796875" style="50" hidden="1"/>
    <col min="9466" max="9466" width="10.7265625" style="50" hidden="1"/>
    <col min="9467" max="9467" width="40.81640625" style="50" hidden="1"/>
    <col min="9468" max="9468" width="34.1796875" style="50" hidden="1"/>
    <col min="9469" max="9469" width="16" style="50" hidden="1"/>
    <col min="9470" max="9470" width="15.7265625" style="50" hidden="1"/>
    <col min="9471" max="9471" width="17.453125" style="50" hidden="1"/>
    <col min="9472" max="9472" width="10.7265625" style="50" hidden="1"/>
    <col min="9473" max="9473" width="13" style="50" hidden="1"/>
    <col min="9474" max="9474" width="16.7265625" style="50" hidden="1"/>
    <col min="9475" max="9715" width="9.1796875" style="50" hidden="1"/>
    <col min="9716" max="9716" width="35.54296875" style="50" hidden="1"/>
    <col min="9717" max="9717" width="23" style="50" hidden="1"/>
    <col min="9718" max="9718" width="17.7265625" style="50" hidden="1"/>
    <col min="9719" max="9719" width="18.453125" style="50" hidden="1"/>
    <col min="9720" max="9721" width="13.1796875" style="50" hidden="1"/>
    <col min="9722" max="9722" width="10.7265625" style="50" hidden="1"/>
    <col min="9723" max="9723" width="40.81640625" style="50" hidden="1"/>
    <col min="9724" max="9724" width="34.1796875" style="50" hidden="1"/>
    <col min="9725" max="9725" width="16" style="50" hidden="1"/>
    <col min="9726" max="9726" width="15.7265625" style="50" hidden="1"/>
    <col min="9727" max="9727" width="17.453125" style="50" hidden="1"/>
    <col min="9728" max="9728" width="10.7265625" style="50" hidden="1"/>
    <col min="9729" max="9729" width="13" style="50" hidden="1"/>
    <col min="9730" max="9730" width="16.7265625" style="50" hidden="1"/>
    <col min="9731" max="9971" width="9.1796875" style="50" hidden="1"/>
    <col min="9972" max="9972" width="35.54296875" style="50" hidden="1"/>
    <col min="9973" max="9973" width="23" style="50" hidden="1"/>
    <col min="9974" max="9974" width="17.7265625" style="50" hidden="1"/>
    <col min="9975" max="9975" width="18.453125" style="50" hidden="1"/>
    <col min="9976" max="9977" width="13.1796875" style="50" hidden="1"/>
    <col min="9978" max="9978" width="10.7265625" style="50" hidden="1"/>
    <col min="9979" max="9979" width="40.81640625" style="50" hidden="1"/>
    <col min="9980" max="9980" width="34.1796875" style="50" hidden="1"/>
    <col min="9981" max="9981" width="16" style="50" hidden="1"/>
    <col min="9982" max="9982" width="15.7265625" style="50" hidden="1"/>
    <col min="9983" max="9983" width="17.453125" style="50" hidden="1"/>
    <col min="9984" max="9984" width="10.7265625" style="50" hidden="1"/>
    <col min="9985" max="9985" width="13" style="50" hidden="1"/>
    <col min="9986" max="9986" width="16.7265625" style="50" hidden="1"/>
    <col min="9987" max="10227" width="9.1796875" style="50" hidden="1"/>
    <col min="10228" max="10228" width="35.54296875" style="50" hidden="1"/>
    <col min="10229" max="10229" width="23" style="50" hidden="1"/>
    <col min="10230" max="10230" width="17.7265625" style="50" hidden="1"/>
    <col min="10231" max="10231" width="18.453125" style="50" hidden="1"/>
    <col min="10232" max="10233" width="13.1796875" style="50" hidden="1"/>
    <col min="10234" max="10234" width="10.7265625" style="50" hidden="1"/>
    <col min="10235" max="10235" width="40.81640625" style="50" hidden="1"/>
    <col min="10236" max="10236" width="34.1796875" style="50" hidden="1"/>
    <col min="10237" max="10237" width="16" style="50" hidden="1"/>
    <col min="10238" max="10238" width="15.7265625" style="50" hidden="1"/>
    <col min="10239" max="10239" width="17.453125" style="50" hidden="1"/>
    <col min="10240" max="10240" width="10.7265625" style="50" hidden="1"/>
    <col min="10241" max="10241" width="13" style="50" hidden="1"/>
    <col min="10242" max="10242" width="16.7265625" style="50" hidden="1"/>
    <col min="10243" max="10483" width="9.1796875" style="50" hidden="1"/>
    <col min="10484" max="10484" width="35.54296875" style="50" hidden="1"/>
    <col min="10485" max="10485" width="23" style="50" hidden="1"/>
    <col min="10486" max="10486" width="17.7265625" style="50" hidden="1"/>
    <col min="10487" max="10487" width="18.453125" style="50" hidden="1"/>
    <col min="10488" max="10489" width="13.1796875" style="50" hidden="1"/>
    <col min="10490" max="10490" width="10.7265625" style="50" hidden="1"/>
    <col min="10491" max="10491" width="40.81640625" style="50" hidden="1"/>
    <col min="10492" max="10492" width="34.1796875" style="50" hidden="1"/>
    <col min="10493" max="10493" width="16" style="50" hidden="1"/>
    <col min="10494" max="10494" width="15.7265625" style="50" hidden="1"/>
    <col min="10495" max="10495" width="17.453125" style="50" hidden="1"/>
    <col min="10496" max="10496" width="10.7265625" style="50" hidden="1"/>
    <col min="10497" max="10497" width="13" style="50" hidden="1"/>
    <col min="10498" max="10498" width="16.7265625" style="50" hidden="1"/>
    <col min="10499" max="10739" width="9.1796875" style="50" hidden="1"/>
    <col min="10740" max="10740" width="35.54296875" style="50" hidden="1"/>
    <col min="10741" max="10741" width="23" style="50" hidden="1"/>
    <col min="10742" max="10742" width="17.7265625" style="50" hidden="1"/>
    <col min="10743" max="10743" width="18.453125" style="50" hidden="1"/>
    <col min="10744" max="10745" width="13.1796875" style="50" hidden="1"/>
    <col min="10746" max="10746" width="10.7265625" style="50" hidden="1"/>
    <col min="10747" max="10747" width="40.81640625" style="50" hidden="1"/>
    <col min="10748" max="10748" width="34.1796875" style="50" hidden="1"/>
    <col min="10749" max="10749" width="16" style="50" hidden="1"/>
    <col min="10750" max="10750" width="15.7265625" style="50" hidden="1"/>
    <col min="10751" max="10751" width="17.453125" style="50" hidden="1"/>
    <col min="10752" max="10752" width="10.7265625" style="50" hidden="1"/>
    <col min="10753" max="10753" width="13" style="50" hidden="1"/>
    <col min="10754" max="10754" width="16.7265625" style="50" hidden="1"/>
    <col min="10755" max="10995" width="9.1796875" style="50" hidden="1"/>
    <col min="10996" max="10996" width="35.54296875" style="50" hidden="1"/>
    <col min="10997" max="10997" width="23" style="50" hidden="1"/>
    <col min="10998" max="10998" width="17.7265625" style="50" hidden="1"/>
    <col min="10999" max="10999" width="18.453125" style="50" hidden="1"/>
    <col min="11000" max="11001" width="13.1796875" style="50" hidden="1"/>
    <col min="11002" max="11002" width="10.7265625" style="50" hidden="1"/>
    <col min="11003" max="11003" width="40.81640625" style="50" hidden="1"/>
    <col min="11004" max="11004" width="34.1796875" style="50" hidden="1"/>
    <col min="11005" max="11005" width="16" style="50" hidden="1"/>
    <col min="11006" max="11006" width="15.7265625" style="50" hidden="1"/>
    <col min="11007" max="11007" width="17.453125" style="50" hidden="1"/>
    <col min="11008" max="11008" width="10.7265625" style="50" hidden="1"/>
    <col min="11009" max="11009" width="13" style="50" hidden="1"/>
    <col min="11010" max="11010" width="16.7265625" style="50" hidden="1"/>
    <col min="11011" max="11251" width="9.1796875" style="50" hidden="1"/>
    <col min="11252" max="11252" width="35.54296875" style="50" hidden="1"/>
    <col min="11253" max="11253" width="23" style="50" hidden="1"/>
    <col min="11254" max="11254" width="17.7265625" style="50" hidden="1"/>
    <col min="11255" max="11255" width="18.453125" style="50" hidden="1"/>
    <col min="11256" max="11257" width="13.1796875" style="50" hidden="1"/>
    <col min="11258" max="11258" width="10.7265625" style="50" hidden="1"/>
    <col min="11259" max="11259" width="40.81640625" style="50" hidden="1"/>
    <col min="11260" max="11260" width="34.1796875" style="50" hidden="1"/>
    <col min="11261" max="11261" width="16" style="50" hidden="1"/>
    <col min="11262" max="11262" width="15.7265625" style="50" hidden="1"/>
    <col min="11263" max="11263" width="17.453125" style="50" hidden="1"/>
    <col min="11264" max="11264" width="10.7265625" style="50" hidden="1"/>
    <col min="11265" max="11265" width="13" style="50" hidden="1"/>
    <col min="11266" max="11266" width="16.7265625" style="50" hidden="1"/>
    <col min="11267" max="11507" width="9.1796875" style="50" hidden="1"/>
    <col min="11508" max="11508" width="35.54296875" style="50" hidden="1"/>
    <col min="11509" max="11509" width="23" style="50" hidden="1"/>
    <col min="11510" max="11510" width="17.7265625" style="50" hidden="1"/>
    <col min="11511" max="11511" width="18.453125" style="50" hidden="1"/>
    <col min="11512" max="11513" width="13.1796875" style="50" hidden="1"/>
    <col min="11514" max="11514" width="10.7265625" style="50" hidden="1"/>
    <col min="11515" max="11515" width="40.81640625" style="50" hidden="1"/>
    <col min="11516" max="11516" width="34.1796875" style="50" hidden="1"/>
    <col min="11517" max="11517" width="16" style="50" hidden="1"/>
    <col min="11518" max="11518" width="15.7265625" style="50" hidden="1"/>
    <col min="11519" max="11519" width="17.453125" style="50" hidden="1"/>
    <col min="11520" max="11520" width="10.7265625" style="50" hidden="1"/>
    <col min="11521" max="11521" width="13" style="50" hidden="1"/>
    <col min="11522" max="11522" width="16.7265625" style="50" hidden="1"/>
    <col min="11523" max="11763" width="9.1796875" style="50" hidden="1"/>
    <col min="11764" max="11764" width="35.54296875" style="50" hidden="1"/>
    <col min="11765" max="11765" width="23" style="50" hidden="1"/>
    <col min="11766" max="11766" width="17.7265625" style="50" hidden="1"/>
    <col min="11767" max="11767" width="18.453125" style="50" hidden="1"/>
    <col min="11768" max="11769" width="13.1796875" style="50" hidden="1"/>
    <col min="11770" max="11770" width="10.7265625" style="50" hidden="1"/>
    <col min="11771" max="11771" width="40.81640625" style="50" hidden="1"/>
    <col min="11772" max="11772" width="34.1796875" style="50" hidden="1"/>
    <col min="11773" max="11773" width="16" style="50" hidden="1"/>
    <col min="11774" max="11774" width="15.7265625" style="50" hidden="1"/>
    <col min="11775" max="11775" width="17.453125" style="50" hidden="1"/>
    <col min="11776" max="11776" width="10.7265625" style="50" hidden="1"/>
    <col min="11777" max="11777" width="13" style="50" hidden="1"/>
    <col min="11778" max="11778" width="16.7265625" style="50" hidden="1"/>
    <col min="11779" max="12019" width="9.1796875" style="50" hidden="1"/>
    <col min="12020" max="12020" width="35.54296875" style="50" hidden="1"/>
    <col min="12021" max="12021" width="23" style="50" hidden="1"/>
    <col min="12022" max="12022" width="17.7265625" style="50" hidden="1"/>
    <col min="12023" max="12023" width="18.453125" style="50" hidden="1"/>
    <col min="12024" max="12025" width="13.1796875" style="50" hidden="1"/>
    <col min="12026" max="12026" width="10.7265625" style="50" hidden="1"/>
    <col min="12027" max="12027" width="40.81640625" style="50" hidden="1"/>
    <col min="12028" max="12028" width="34.1796875" style="50" hidden="1"/>
    <col min="12029" max="12029" width="16" style="50" hidden="1"/>
    <col min="12030" max="12030" width="15.7265625" style="50" hidden="1"/>
    <col min="12031" max="12031" width="17.453125" style="50" hidden="1"/>
    <col min="12032" max="12032" width="10.7265625" style="50" hidden="1"/>
    <col min="12033" max="12033" width="13" style="50" hidden="1"/>
    <col min="12034" max="12034" width="16.7265625" style="50" hidden="1"/>
    <col min="12035" max="12275" width="9.1796875" style="50" hidden="1"/>
    <col min="12276" max="12276" width="35.54296875" style="50" hidden="1"/>
    <col min="12277" max="12277" width="23" style="50" hidden="1"/>
    <col min="12278" max="12278" width="17.7265625" style="50" hidden="1"/>
    <col min="12279" max="12279" width="18.453125" style="50" hidden="1"/>
    <col min="12280" max="12281" width="13.1796875" style="50" hidden="1"/>
    <col min="12282" max="12282" width="10.7265625" style="50" hidden="1"/>
    <col min="12283" max="12283" width="40.81640625" style="50" hidden="1"/>
    <col min="12284" max="12284" width="34.1796875" style="50" hidden="1"/>
    <col min="12285" max="12285" width="16" style="50" hidden="1"/>
    <col min="12286" max="12286" width="15.7265625" style="50" hidden="1"/>
    <col min="12287" max="12287" width="17.453125" style="50" hidden="1"/>
    <col min="12288" max="12288" width="10.7265625" style="50" hidden="1"/>
    <col min="12289" max="12289" width="13" style="50" hidden="1"/>
    <col min="12290" max="12290" width="16.7265625" style="50" hidden="1"/>
    <col min="12291" max="12531" width="9.1796875" style="50" hidden="1"/>
    <col min="12532" max="12532" width="35.54296875" style="50" hidden="1"/>
    <col min="12533" max="12533" width="23" style="50" hidden="1"/>
    <col min="12534" max="12534" width="17.7265625" style="50" hidden="1"/>
    <col min="12535" max="12535" width="18.453125" style="50" hidden="1"/>
    <col min="12536" max="12537" width="13.1796875" style="50" hidden="1"/>
    <col min="12538" max="12538" width="10.7265625" style="50" hidden="1"/>
    <col min="12539" max="12539" width="40.81640625" style="50" hidden="1"/>
    <col min="12540" max="12540" width="34.1796875" style="50" hidden="1"/>
    <col min="12541" max="12541" width="16" style="50" hidden="1"/>
    <col min="12542" max="12542" width="15.7265625" style="50" hidden="1"/>
    <col min="12543" max="12543" width="17.453125" style="50" hidden="1"/>
    <col min="12544" max="12544" width="10.7265625" style="50" hidden="1"/>
    <col min="12545" max="12545" width="13" style="50" hidden="1"/>
    <col min="12546" max="12546" width="16.7265625" style="50" hidden="1"/>
    <col min="12547" max="12787" width="9.1796875" style="50" hidden="1"/>
    <col min="12788" max="12788" width="35.54296875" style="50" hidden="1"/>
    <col min="12789" max="12789" width="23" style="50" hidden="1"/>
    <col min="12790" max="12790" width="17.7265625" style="50" hidden="1"/>
    <col min="12791" max="12791" width="18.453125" style="50" hidden="1"/>
    <col min="12792" max="12793" width="13.1796875" style="50" hidden="1"/>
    <col min="12794" max="12794" width="10.7265625" style="50" hidden="1"/>
    <col min="12795" max="12795" width="40.81640625" style="50" hidden="1"/>
    <col min="12796" max="12796" width="34.1796875" style="50" hidden="1"/>
    <col min="12797" max="12797" width="16" style="50" hidden="1"/>
    <col min="12798" max="12798" width="15.7265625" style="50" hidden="1"/>
    <col min="12799" max="12799" width="17.453125" style="50" hidden="1"/>
    <col min="12800" max="12800" width="10.7265625" style="50" hidden="1"/>
    <col min="12801" max="12801" width="13" style="50" hidden="1"/>
    <col min="12802" max="12802" width="16.7265625" style="50" hidden="1"/>
    <col min="12803" max="13043" width="9.1796875" style="50" hidden="1"/>
    <col min="13044" max="13044" width="35.54296875" style="50" hidden="1"/>
    <col min="13045" max="13045" width="23" style="50" hidden="1"/>
    <col min="13046" max="13046" width="17.7265625" style="50" hidden="1"/>
    <col min="13047" max="13047" width="18.453125" style="50" hidden="1"/>
    <col min="13048" max="13049" width="13.1796875" style="50" hidden="1"/>
    <col min="13050" max="13050" width="10.7265625" style="50" hidden="1"/>
    <col min="13051" max="13051" width="40.81640625" style="50" hidden="1"/>
    <col min="13052" max="13052" width="34.1796875" style="50" hidden="1"/>
    <col min="13053" max="13053" width="16" style="50" hidden="1"/>
    <col min="13054" max="13054" width="15.7265625" style="50" hidden="1"/>
    <col min="13055" max="13055" width="17.453125" style="50" hidden="1"/>
    <col min="13056" max="13056" width="10.7265625" style="50" hidden="1"/>
    <col min="13057" max="13057" width="13" style="50" hidden="1"/>
    <col min="13058" max="13058" width="16.7265625" style="50" hidden="1"/>
    <col min="13059" max="13299" width="9.1796875" style="50" hidden="1"/>
    <col min="13300" max="13300" width="35.54296875" style="50" hidden="1"/>
    <col min="13301" max="13301" width="23" style="50" hidden="1"/>
    <col min="13302" max="13302" width="17.7265625" style="50" hidden="1"/>
    <col min="13303" max="13303" width="18.453125" style="50" hidden="1"/>
    <col min="13304" max="13305" width="13.1796875" style="50" hidden="1"/>
    <col min="13306" max="13306" width="10.7265625" style="50" hidden="1"/>
    <col min="13307" max="13307" width="40.81640625" style="50" hidden="1"/>
    <col min="13308" max="13308" width="34.1796875" style="50" hidden="1"/>
    <col min="13309" max="13309" width="16" style="50" hidden="1"/>
    <col min="13310" max="13310" width="15.7265625" style="50" hidden="1"/>
    <col min="13311" max="13311" width="17.453125" style="50" hidden="1"/>
    <col min="13312" max="13312" width="10.7265625" style="50" hidden="1"/>
    <col min="13313" max="13313" width="13" style="50" hidden="1"/>
    <col min="13314" max="13314" width="16.7265625" style="50" hidden="1"/>
    <col min="13315" max="13555" width="9.1796875" style="50" hidden="1"/>
    <col min="13556" max="13556" width="35.54296875" style="50" hidden="1"/>
    <col min="13557" max="13557" width="23" style="50" hidden="1"/>
    <col min="13558" max="13558" width="17.7265625" style="50" hidden="1"/>
    <col min="13559" max="13559" width="18.453125" style="50" hidden="1"/>
    <col min="13560" max="13561" width="13.1796875" style="50" hidden="1"/>
    <col min="13562" max="13562" width="10.7265625" style="50" hidden="1"/>
    <col min="13563" max="13563" width="40.81640625" style="50" hidden="1"/>
    <col min="13564" max="13564" width="34.1796875" style="50" hidden="1"/>
    <col min="13565" max="13565" width="16" style="50" hidden="1"/>
    <col min="13566" max="13566" width="15.7265625" style="50" hidden="1"/>
    <col min="13567" max="13567" width="17.453125" style="50" hidden="1"/>
    <col min="13568" max="13568" width="10.7265625" style="50" hidden="1"/>
    <col min="13569" max="13569" width="13" style="50" hidden="1"/>
    <col min="13570" max="13570" width="16.7265625" style="50" hidden="1"/>
    <col min="13571" max="13811" width="9.1796875" style="50" hidden="1"/>
    <col min="13812" max="13812" width="35.54296875" style="50" hidden="1"/>
    <col min="13813" max="13813" width="23" style="50" hidden="1"/>
    <col min="13814" max="13814" width="17.7265625" style="50" hidden="1"/>
    <col min="13815" max="13815" width="18.453125" style="50" hidden="1"/>
    <col min="13816" max="13817" width="13.1796875" style="50" hidden="1"/>
    <col min="13818" max="13818" width="10.7265625" style="50" hidden="1"/>
    <col min="13819" max="13819" width="40.81640625" style="50" hidden="1"/>
    <col min="13820" max="13820" width="34.1796875" style="50" hidden="1"/>
    <col min="13821" max="13821" width="16" style="50" hidden="1"/>
    <col min="13822" max="13822" width="15.7265625" style="50" hidden="1"/>
    <col min="13823" max="13823" width="17.453125" style="50" hidden="1"/>
    <col min="13824" max="13824" width="10.7265625" style="50" hidden="1"/>
    <col min="13825" max="13825" width="13" style="50" hidden="1"/>
    <col min="13826" max="13826" width="16.7265625" style="50" hidden="1"/>
    <col min="13827" max="14067" width="9.1796875" style="50" hidden="1"/>
    <col min="14068" max="14068" width="35.54296875" style="50" hidden="1"/>
    <col min="14069" max="14069" width="23" style="50" hidden="1"/>
    <col min="14070" max="14070" width="17.7265625" style="50" hidden="1"/>
    <col min="14071" max="14071" width="18.453125" style="50" hidden="1"/>
    <col min="14072" max="14073" width="13.1796875" style="50" hidden="1"/>
    <col min="14074" max="14074" width="10.7265625" style="50" hidden="1"/>
    <col min="14075" max="14075" width="40.81640625" style="50" hidden="1"/>
    <col min="14076" max="14076" width="34.1796875" style="50" hidden="1"/>
    <col min="14077" max="14077" width="16" style="50" hidden="1"/>
    <col min="14078" max="14078" width="15.7265625" style="50" hidden="1"/>
    <col min="14079" max="14079" width="17.453125" style="50" hidden="1"/>
    <col min="14080" max="14080" width="10.7265625" style="50" hidden="1"/>
    <col min="14081" max="14081" width="13" style="50" hidden="1"/>
    <col min="14082" max="14082" width="16.7265625" style="50" hidden="1"/>
    <col min="14083" max="14323" width="9.1796875" style="50" hidden="1"/>
    <col min="14324" max="14324" width="35.54296875" style="50" hidden="1"/>
    <col min="14325" max="14325" width="23" style="50" hidden="1"/>
    <col min="14326" max="14326" width="17.7265625" style="50" hidden="1"/>
    <col min="14327" max="14327" width="18.453125" style="50" hidden="1"/>
    <col min="14328" max="14329" width="13.1796875" style="50" hidden="1"/>
    <col min="14330" max="14330" width="10.7265625" style="50" hidden="1"/>
    <col min="14331" max="14331" width="40.81640625" style="50" hidden="1"/>
    <col min="14332" max="14332" width="34.1796875" style="50" hidden="1"/>
    <col min="14333" max="14333" width="16" style="50" hidden="1"/>
    <col min="14334" max="14334" width="15.7265625" style="50" hidden="1"/>
    <col min="14335" max="14335" width="17.453125" style="50" hidden="1"/>
    <col min="14336" max="14336" width="10.7265625" style="50" hidden="1"/>
    <col min="14337" max="14337" width="13" style="50" hidden="1"/>
    <col min="14338" max="14338" width="16.7265625" style="50" hidden="1"/>
    <col min="14339" max="14579" width="9.1796875" style="50" hidden="1"/>
    <col min="14580" max="14580" width="35.54296875" style="50" hidden="1"/>
    <col min="14581" max="14581" width="23" style="50" hidden="1"/>
    <col min="14582" max="14582" width="17.7265625" style="50" hidden="1"/>
    <col min="14583" max="14583" width="18.453125" style="50" hidden="1"/>
    <col min="14584" max="14585" width="13.1796875" style="50" hidden="1"/>
    <col min="14586" max="14586" width="10.7265625" style="50" hidden="1"/>
    <col min="14587" max="14587" width="40.81640625" style="50" hidden="1"/>
    <col min="14588" max="14588" width="34.1796875" style="50" hidden="1"/>
    <col min="14589" max="14589" width="16" style="50" hidden="1"/>
    <col min="14590" max="14590" width="15.7265625" style="50" hidden="1"/>
    <col min="14591" max="14591" width="17.453125" style="50" hidden="1"/>
    <col min="14592" max="14592" width="10.7265625" style="50" hidden="1"/>
    <col min="14593" max="14593" width="13" style="50" hidden="1"/>
    <col min="14594" max="14594" width="16.7265625" style="50" hidden="1"/>
    <col min="14595" max="14835" width="9.1796875" style="50" hidden="1"/>
    <col min="14836" max="14836" width="35.54296875" style="50" hidden="1"/>
    <col min="14837" max="14837" width="23" style="50" hidden="1"/>
    <col min="14838" max="14838" width="17.7265625" style="50" hidden="1"/>
    <col min="14839" max="14839" width="18.453125" style="50" hidden="1"/>
    <col min="14840" max="14841" width="13.1796875" style="50" hidden="1"/>
    <col min="14842" max="14842" width="10.7265625" style="50" hidden="1"/>
    <col min="14843" max="14843" width="40.81640625" style="50" hidden="1"/>
    <col min="14844" max="14844" width="34.1796875" style="50" hidden="1"/>
    <col min="14845" max="14845" width="16" style="50" hidden="1"/>
    <col min="14846" max="14846" width="15.7265625" style="50" hidden="1"/>
    <col min="14847" max="14847" width="17.453125" style="50" hidden="1"/>
    <col min="14848" max="14848" width="10.7265625" style="50" hidden="1"/>
    <col min="14849" max="14849" width="13" style="50" hidden="1"/>
    <col min="14850" max="14850" width="16.7265625" style="50" hidden="1"/>
    <col min="14851" max="15091" width="9.1796875" style="50" hidden="1"/>
    <col min="15092" max="15092" width="35.54296875" style="50" hidden="1"/>
    <col min="15093" max="15093" width="23" style="50" hidden="1"/>
    <col min="15094" max="15094" width="17.7265625" style="50" hidden="1"/>
    <col min="15095" max="15095" width="18.453125" style="50" hidden="1"/>
    <col min="15096" max="15097" width="13.1796875" style="50" hidden="1"/>
    <col min="15098" max="15098" width="10.7265625" style="50" hidden="1"/>
    <col min="15099" max="15099" width="40.81640625" style="50" hidden="1"/>
    <col min="15100" max="15100" width="34.1796875" style="50" hidden="1"/>
    <col min="15101" max="15101" width="16" style="50" hidden="1"/>
    <col min="15102" max="15102" width="15.7265625" style="50" hidden="1"/>
    <col min="15103" max="15103" width="17.453125" style="50" hidden="1"/>
    <col min="15104" max="15104" width="10.7265625" style="50" hidden="1"/>
    <col min="15105" max="15105" width="13" style="50" hidden="1"/>
    <col min="15106" max="15106" width="16.7265625" style="50" hidden="1"/>
    <col min="15107" max="15347" width="9.1796875" style="50" hidden="1"/>
    <col min="15348" max="15348" width="35.54296875" style="50" hidden="1"/>
    <col min="15349" max="15349" width="23" style="50" hidden="1"/>
    <col min="15350" max="15350" width="17.7265625" style="50" hidden="1"/>
    <col min="15351" max="15351" width="18.453125" style="50" hidden="1"/>
    <col min="15352" max="15353" width="13.1796875" style="50" hidden="1"/>
    <col min="15354" max="15354" width="10.7265625" style="50" hidden="1"/>
    <col min="15355" max="15355" width="40.81640625" style="50" hidden="1"/>
    <col min="15356" max="15356" width="34.1796875" style="50" hidden="1"/>
    <col min="15357" max="15357" width="16" style="50" hidden="1"/>
    <col min="15358" max="15358" width="15.7265625" style="50" hidden="1"/>
    <col min="15359" max="15359" width="17.453125" style="50" hidden="1"/>
    <col min="15360" max="15360" width="10.7265625" style="50" hidden="1"/>
    <col min="15361" max="15361" width="13" style="50" hidden="1"/>
    <col min="15362" max="15362" width="16.7265625" style="50" hidden="1"/>
    <col min="15363" max="15603" width="9.1796875" style="50" hidden="1"/>
    <col min="15604" max="15604" width="35.54296875" style="50" hidden="1"/>
    <col min="15605" max="15605" width="23" style="50" hidden="1"/>
    <col min="15606" max="15606" width="17.7265625" style="50" hidden="1"/>
    <col min="15607" max="15607" width="18.453125" style="50" hidden="1"/>
    <col min="15608" max="15609" width="13.1796875" style="50" hidden="1"/>
    <col min="15610" max="15610" width="10.7265625" style="50" hidden="1"/>
    <col min="15611" max="15611" width="40.81640625" style="50" hidden="1"/>
    <col min="15612" max="15612" width="34.1796875" style="50" hidden="1"/>
    <col min="15613" max="15613" width="16" style="50" hidden="1"/>
    <col min="15614" max="15614" width="15.7265625" style="50" hidden="1"/>
    <col min="15615" max="15615" width="17.453125" style="50" hidden="1"/>
    <col min="15616" max="15616" width="10.7265625" style="50" hidden="1"/>
    <col min="15617" max="15617" width="13" style="50" hidden="1"/>
    <col min="15618" max="15618" width="16.7265625" style="50" hidden="1"/>
    <col min="15619" max="15859" width="9.1796875" style="50" hidden="1"/>
    <col min="15860" max="15860" width="35.54296875" style="50" hidden="1"/>
    <col min="15861" max="15861" width="23" style="50" hidden="1"/>
    <col min="15862" max="15862" width="17.7265625" style="50" hidden="1"/>
    <col min="15863" max="15863" width="18.453125" style="50" hidden="1"/>
    <col min="15864" max="15865" width="13.1796875" style="50" hidden="1"/>
    <col min="15866" max="15866" width="10.7265625" style="50" hidden="1"/>
    <col min="15867" max="15867" width="40.81640625" style="50" hidden="1"/>
    <col min="15868" max="15868" width="34.1796875" style="50" hidden="1"/>
    <col min="15869" max="15869" width="16" style="50" hidden="1"/>
    <col min="15870" max="15870" width="15.7265625" style="50" hidden="1"/>
    <col min="15871" max="15871" width="17.453125" style="50" hidden="1"/>
    <col min="15872" max="15872" width="10.7265625" style="50" hidden="1"/>
    <col min="15873" max="15873" width="13" style="50" hidden="1"/>
    <col min="15874" max="15874" width="16.7265625" style="50" hidden="1"/>
    <col min="15875" max="16115" width="9.1796875" style="50" hidden="1"/>
    <col min="16116" max="16116" width="35.54296875" style="50" hidden="1"/>
    <col min="16117" max="16117" width="23" style="50" hidden="1"/>
    <col min="16118" max="16118" width="17.7265625" style="50" hidden="1"/>
    <col min="16119" max="16119" width="18.453125" style="50" hidden="1"/>
    <col min="16120" max="16121" width="13.1796875" style="50" hidden="1"/>
    <col min="16122" max="16122" width="10.7265625" style="50" hidden="1"/>
    <col min="16123" max="16123" width="40.81640625" style="50" hidden="1"/>
    <col min="16124" max="16124" width="34.1796875" style="50" hidden="1"/>
    <col min="16125" max="16125" width="16" style="50" hidden="1"/>
    <col min="16126" max="16126" width="15.7265625" style="50" hidden="1"/>
    <col min="16127" max="16127" width="17.453125" style="50" hidden="1"/>
    <col min="16128" max="16128" width="10.7265625" style="50" hidden="1"/>
    <col min="16129" max="16129" width="13" style="50" hidden="1"/>
    <col min="16130" max="16136" width="16.7265625" style="50" hidden="1"/>
    <col min="16137" max="16384" width="9.1796875" style="50" hidden="1"/>
  </cols>
  <sheetData>
    <row r="1" spans="1:6" ht="25.5" customHeight="1" x14ac:dyDescent="0.35">
      <c r="A1" s="329" t="str">
        <f>'Indicadores e Metas'!A1:F1</f>
        <v>CAU/UF:  Conselho de Arquitetura e Urbanismo do Estado de Minas Gerais- CAU/MG</v>
      </c>
      <c r="B1" s="330"/>
      <c r="C1" s="330"/>
      <c r="D1" s="330"/>
      <c r="E1" s="330"/>
      <c r="F1" s="331"/>
    </row>
    <row r="2" spans="1:6" ht="25.5" customHeight="1" x14ac:dyDescent="0.35">
      <c r="A2" s="329" t="s">
        <v>590</v>
      </c>
      <c r="B2" s="330"/>
      <c r="C2" s="330"/>
      <c r="D2" s="330"/>
      <c r="E2" s="330"/>
      <c r="F2" s="331"/>
    </row>
    <row r="3" spans="1:6" x14ac:dyDescent="0.35"/>
    <row r="4" spans="1:6" ht="39" customHeight="1" x14ac:dyDescent="0.35">
      <c r="A4" s="359" t="s">
        <v>257</v>
      </c>
      <c r="B4" s="348" t="s">
        <v>258</v>
      </c>
      <c r="C4" s="348"/>
      <c r="D4" s="108" t="s">
        <v>581</v>
      </c>
      <c r="E4" s="108" t="s">
        <v>540</v>
      </c>
      <c r="F4" s="108" t="s">
        <v>259</v>
      </c>
    </row>
    <row r="5" spans="1:6" ht="39" customHeight="1" x14ac:dyDescent="0.35">
      <c r="A5" s="359"/>
      <c r="B5" s="360" t="s">
        <v>260</v>
      </c>
      <c r="C5" s="360"/>
      <c r="D5" s="149">
        <v>10196604.050000001</v>
      </c>
      <c r="E5" s="150">
        <f>'Anexo 3. Elemento de Despesas'!F56</f>
        <v>9820049.4035873339</v>
      </c>
      <c r="F5" s="96">
        <f>IFERROR(E5/D5-1,0)</f>
        <v>-3.6929417339949255E-2</v>
      </c>
    </row>
    <row r="6" spans="1:6" ht="39" customHeight="1" x14ac:dyDescent="0.35">
      <c r="A6" s="359"/>
      <c r="B6" s="360" t="s">
        <v>261</v>
      </c>
      <c r="C6" s="360"/>
      <c r="D6" s="149">
        <v>1774790.14</v>
      </c>
      <c r="E6" s="150">
        <v>1658083.6956540002</v>
      </c>
      <c r="F6" s="96">
        <f t="shared" ref="F6:F7" si="0">IFERROR(E6/D6-1,0)</f>
        <v>-6.5757884110174136E-2</v>
      </c>
    </row>
    <row r="7" spans="1:6" ht="39" customHeight="1" x14ac:dyDescent="0.35">
      <c r="A7" s="359"/>
      <c r="B7" s="360" t="s">
        <v>262</v>
      </c>
      <c r="C7" s="360"/>
      <c r="D7" s="149">
        <f>'Anexo 1. Fontes e Aplicações'!C7</f>
        <v>15767683.309999999</v>
      </c>
      <c r="E7" s="150">
        <f>'Anexo 1. Fontes e Aplicações'!F7</f>
        <v>16386713.779999999</v>
      </c>
      <c r="F7" s="96">
        <f t="shared" si="0"/>
        <v>3.9259443370948777E-2</v>
      </c>
    </row>
    <row r="8" spans="1:6" ht="36" customHeight="1" x14ac:dyDescent="0.35">
      <c r="A8" s="347"/>
      <c r="B8" s="347"/>
      <c r="C8" s="83"/>
      <c r="D8" s="162"/>
      <c r="E8" s="162"/>
      <c r="F8" s="84"/>
    </row>
    <row r="9" spans="1:6" ht="39" customHeight="1" x14ac:dyDescent="0.35">
      <c r="A9" s="348" t="s">
        <v>263</v>
      </c>
      <c r="B9" s="348"/>
      <c r="C9" s="348"/>
      <c r="D9" s="108" t="str">
        <f>D4</f>
        <v>Programação 2024</v>
      </c>
      <c r="E9" s="108" t="str">
        <f>E4</f>
        <v>Reprogramação 2024</v>
      </c>
      <c r="F9" s="108" t="s">
        <v>264</v>
      </c>
    </row>
    <row r="10" spans="1:6" ht="35.25" customHeight="1" x14ac:dyDescent="0.35">
      <c r="A10" s="350" t="s">
        <v>265</v>
      </c>
      <c r="B10" s="350"/>
      <c r="C10" s="94" t="s">
        <v>93</v>
      </c>
      <c r="D10" s="149">
        <f>(D5-D6)</f>
        <v>8421813.9100000001</v>
      </c>
      <c r="E10" s="150">
        <f>(E5-E6)</f>
        <v>8161965.7079333337</v>
      </c>
      <c r="F10" s="96">
        <f>IFERROR(E10/D10-1,0)</f>
        <v>-3.0854184721194611E-2</v>
      </c>
    </row>
    <row r="11" spans="1:6" ht="35.25" customHeight="1" x14ac:dyDescent="0.35">
      <c r="A11" s="350"/>
      <c r="B11" s="350"/>
      <c r="C11" s="122" t="s">
        <v>266</v>
      </c>
      <c r="D11" s="97">
        <f>IFERROR(D10/D7,)</f>
        <v>0.53411866184925305</v>
      </c>
      <c r="E11" s="97">
        <f>IFERROR(E10/E7,)</f>
        <v>0.49808435159800135</v>
      </c>
      <c r="F11" s="95">
        <f>(E11-D11)*100</f>
        <v>-3.60343102512517</v>
      </c>
    </row>
    <row r="12" spans="1:6" ht="35.25" customHeight="1" x14ac:dyDescent="0.35">
      <c r="A12" s="350" t="s">
        <v>509</v>
      </c>
      <c r="B12" s="350"/>
      <c r="C12" s="94" t="s">
        <v>93</v>
      </c>
      <c r="D12" s="149">
        <f>'Quadro Geral'!I28</f>
        <v>159416.19999999998</v>
      </c>
      <c r="E12" s="150">
        <f>'Quadro Geral'!L28</f>
        <v>202332.27</v>
      </c>
      <c r="F12" s="96">
        <f>IFERROR(E12/D12-1,0)</f>
        <v>0.2692077091286833</v>
      </c>
    </row>
    <row r="13" spans="1:6" ht="35.25" customHeight="1" x14ac:dyDescent="0.35">
      <c r="A13" s="350"/>
      <c r="B13" s="350"/>
      <c r="C13" s="123" t="s">
        <v>266</v>
      </c>
      <c r="D13" s="97">
        <f>IFERROR(D12/D5,)</f>
        <v>1.5634244422779168E-2</v>
      </c>
      <c r="E13" s="97">
        <f>IFERROR(E12/E5,)</f>
        <v>2.0603997157701323E-2</v>
      </c>
      <c r="F13" s="95">
        <f>(E13-D13)*100</f>
        <v>0.49697527349221554</v>
      </c>
    </row>
    <row r="14" spans="1:6" ht="39" customHeight="1" x14ac:dyDescent="0.35">
      <c r="E14" s="200"/>
    </row>
    <row r="15" spans="1:6" ht="39" customHeight="1" x14ac:dyDescent="0.35">
      <c r="A15" s="358" t="s">
        <v>257</v>
      </c>
      <c r="B15" s="344" t="s">
        <v>267</v>
      </c>
      <c r="C15" s="344"/>
      <c r="D15" s="249" t="str">
        <f>D9</f>
        <v>Programação 2024</v>
      </c>
      <c r="E15" s="249" t="str">
        <f>E9</f>
        <v>Reprogramação 2024</v>
      </c>
      <c r="F15" s="249" t="s">
        <v>259</v>
      </c>
    </row>
    <row r="16" spans="1:6" ht="36.75" customHeight="1" x14ac:dyDescent="0.35">
      <c r="A16" s="358"/>
      <c r="B16" s="346" t="s">
        <v>268</v>
      </c>
      <c r="C16" s="346"/>
      <c r="D16" s="149">
        <f>'Anexo 1. Fontes e Aplicações'!C8</f>
        <v>13810599.309999999</v>
      </c>
      <c r="E16" s="150">
        <f>'Anexo 1. Fontes e Aplicações'!F8</f>
        <v>14312982.25</v>
      </c>
      <c r="F16" s="96">
        <f>IFERROR(E16/D16-1,0)</f>
        <v>3.6376621225715722E-2</v>
      </c>
    </row>
    <row r="17" spans="1:6" ht="36.75" customHeight="1" x14ac:dyDescent="0.35">
      <c r="A17" s="358"/>
      <c r="B17" s="346" t="s">
        <v>269</v>
      </c>
      <c r="C17" s="346"/>
      <c r="D17" s="149">
        <f>'Anexo 1. Fontes e Aplicações'!C20</f>
        <v>0</v>
      </c>
      <c r="E17" s="228">
        <f>'Anexo 1. Fontes e Aplicações'!F20</f>
        <v>0</v>
      </c>
      <c r="F17" s="97">
        <f t="shared" ref="F17:F20" si="1">IFERROR(E17/D17-1,0)</f>
        <v>0</v>
      </c>
    </row>
    <row r="18" spans="1:6" ht="36.75" customHeight="1" x14ac:dyDescent="0.35">
      <c r="A18" s="358"/>
      <c r="B18" s="351" t="s">
        <v>270</v>
      </c>
      <c r="C18" s="351"/>
      <c r="D18" s="250">
        <f>SUM(D16:D17)</f>
        <v>13810599.309999999</v>
      </c>
      <c r="E18" s="250">
        <f>SUM(E16:E17)</f>
        <v>14312982.25</v>
      </c>
      <c r="F18" s="251">
        <f t="shared" si="1"/>
        <v>3.6376621225715722E-2</v>
      </c>
    </row>
    <row r="19" spans="1:6" ht="36.75" customHeight="1" x14ac:dyDescent="0.35">
      <c r="A19" s="358"/>
      <c r="B19" s="346" t="s">
        <v>271</v>
      </c>
      <c r="C19" s="346"/>
      <c r="D19" s="149">
        <f>'Anexo 1. Fontes e Aplicações'!C30</f>
        <v>256850.45</v>
      </c>
      <c r="E19" s="228">
        <f>'Anexo 1. Fontes e Aplicações'!F30</f>
        <v>256850.45</v>
      </c>
      <c r="F19" s="97">
        <f t="shared" si="1"/>
        <v>0</v>
      </c>
    </row>
    <row r="20" spans="1:6" ht="36.75" customHeight="1" x14ac:dyDescent="0.35">
      <c r="A20" s="358"/>
      <c r="B20" s="349" t="s">
        <v>272</v>
      </c>
      <c r="C20" s="349"/>
      <c r="D20" s="250">
        <f>D18-D19</f>
        <v>13553748.859999999</v>
      </c>
      <c r="E20" s="250">
        <f>E18-E19</f>
        <v>14056131.800000001</v>
      </c>
      <c r="F20" s="251">
        <f t="shared" si="1"/>
        <v>3.7065976741139206E-2</v>
      </c>
    </row>
    <row r="21" spans="1:6" ht="39" customHeight="1" x14ac:dyDescent="0.35">
      <c r="A21" s="86"/>
      <c r="B21" s="87"/>
      <c r="C21" s="87"/>
      <c r="D21" s="88"/>
      <c r="E21" s="88"/>
      <c r="F21" s="85"/>
    </row>
    <row r="22" spans="1:6" ht="39" customHeight="1" x14ac:dyDescent="0.35">
      <c r="A22" s="358" t="s">
        <v>273</v>
      </c>
      <c r="B22" s="344" t="s">
        <v>263</v>
      </c>
      <c r="C22" s="344"/>
      <c r="D22" s="249" t="str">
        <f>D15</f>
        <v>Programação 2024</v>
      </c>
      <c r="E22" s="249" t="str">
        <f>E15</f>
        <v>Reprogramação 2024</v>
      </c>
      <c r="F22" s="249" t="s">
        <v>259</v>
      </c>
    </row>
    <row r="23" spans="1:6" ht="36.75" customHeight="1" x14ac:dyDescent="0.35">
      <c r="A23" s="358"/>
      <c r="B23" s="345" t="s">
        <v>274</v>
      </c>
      <c r="C23" s="94" t="s">
        <v>93</v>
      </c>
      <c r="D23" s="149">
        <v>3398030</v>
      </c>
      <c r="E23" s="150">
        <f>'Matriz de Obj. Estrat.'!J5</f>
        <v>3830469.6399999997</v>
      </c>
      <c r="F23" s="96">
        <f>IFERROR(E23/D23-1,0)</f>
        <v>0.1272618664343752</v>
      </c>
    </row>
    <row r="24" spans="1:6" ht="36.75" customHeight="1" x14ac:dyDescent="0.35">
      <c r="A24" s="358"/>
      <c r="B24" s="345"/>
      <c r="C24" s="122" t="s">
        <v>266</v>
      </c>
      <c r="D24" s="96">
        <f>IFERROR(D23/$D$20,0)</f>
        <v>0.25070775879788582</v>
      </c>
      <c r="E24" s="96">
        <f>IFERROR(E23/$E$20,0)</f>
        <v>0.27251235933914619</v>
      </c>
      <c r="F24" s="95">
        <f>(E24-D24)*100</f>
        <v>2.1804600541260379</v>
      </c>
    </row>
    <row r="25" spans="1:6" ht="36.75" customHeight="1" x14ac:dyDescent="0.35">
      <c r="A25" s="358"/>
      <c r="B25" s="345" t="s">
        <v>275</v>
      </c>
      <c r="C25" s="94" t="s">
        <v>93</v>
      </c>
      <c r="D25" s="149">
        <v>530094.43000000005</v>
      </c>
      <c r="E25" s="150">
        <f>'Matriz de Obj. Estrat.'!J13</f>
        <v>581628.77333333332</v>
      </c>
      <c r="F25" s="96">
        <f>IFERROR(E25/D25-1,0)</f>
        <v>9.7217288876876529E-2</v>
      </c>
    </row>
    <row r="26" spans="1:6" ht="36.75" customHeight="1" x14ac:dyDescent="0.35">
      <c r="A26" s="358"/>
      <c r="B26" s="345"/>
      <c r="C26" s="122" t="s">
        <v>266</v>
      </c>
      <c r="D26" s="96">
        <f>IFERROR(D25/$D$20,0)</f>
        <v>3.9110539488039477E-2</v>
      </c>
      <c r="E26" s="96">
        <f>IFERROR(E25/$E$20,0)</f>
        <v>4.1379006799959948E-2</v>
      </c>
      <c r="F26" s="95">
        <f>(E26-D26)*100</f>
        <v>0.22684673119204718</v>
      </c>
    </row>
    <row r="27" spans="1:6" ht="36.75" customHeight="1" x14ac:dyDescent="0.35">
      <c r="A27" s="358"/>
      <c r="B27" s="343" t="s">
        <v>276</v>
      </c>
      <c r="C27" s="94" t="s">
        <v>93</v>
      </c>
      <c r="D27" s="149">
        <v>3917427.65</v>
      </c>
      <c r="E27" s="150">
        <f>'Matriz de Obj. Estrat.'!J6</f>
        <v>3370585.5199999996</v>
      </c>
      <c r="F27" s="96">
        <f>IFERROR(E27/D27-1,0)</f>
        <v>-0.13959214537121067</v>
      </c>
    </row>
    <row r="28" spans="1:6" ht="36.75" customHeight="1" x14ac:dyDescent="0.35">
      <c r="A28" s="358"/>
      <c r="B28" s="343"/>
      <c r="C28" s="122" t="s">
        <v>266</v>
      </c>
      <c r="D28" s="96">
        <f>IFERROR(D27/$D$20,0)</f>
        <v>0.28902908637780383</v>
      </c>
      <c r="E28" s="96">
        <f>IFERROR(E27/$E$20,0)</f>
        <v>0.23979467238632463</v>
      </c>
      <c r="F28" s="95">
        <f>(E28-D28)*100</f>
        <v>-4.9234413991479204</v>
      </c>
    </row>
    <row r="29" spans="1:6" ht="36.75" customHeight="1" x14ac:dyDescent="0.35">
      <c r="A29" s="358"/>
      <c r="B29" s="343" t="s">
        <v>277</v>
      </c>
      <c r="C29" s="94" t="s">
        <v>93</v>
      </c>
      <c r="D29" s="149">
        <v>1334579.68</v>
      </c>
      <c r="E29" s="150">
        <f>'Matriz de Obj. Estrat.'!J11</f>
        <v>1336998.6035873333</v>
      </c>
      <c r="F29" s="96">
        <f>IFERROR(E29/D29-1,0)</f>
        <v>1.8124984394587429E-3</v>
      </c>
    </row>
    <row r="30" spans="1:6" ht="36.75" customHeight="1" x14ac:dyDescent="0.35">
      <c r="A30" s="358"/>
      <c r="B30" s="343"/>
      <c r="C30" s="122" t="s">
        <v>266</v>
      </c>
      <c r="D30" s="96">
        <f>IFERROR(D29/$D$20,0)</f>
        <v>9.8465722936524877E-2</v>
      </c>
      <c r="E30" s="96">
        <f>IFERROR(E29/$E$20,0)</f>
        <v>9.5118530660571438E-2</v>
      </c>
      <c r="F30" s="95">
        <f>(E30-D30)*100</f>
        <v>-0.33471922759534395</v>
      </c>
    </row>
    <row r="31" spans="1:6" ht="36.75" customHeight="1" x14ac:dyDescent="0.35">
      <c r="A31" s="358"/>
      <c r="B31" s="343" t="s">
        <v>278</v>
      </c>
      <c r="C31" s="94" t="s">
        <v>93</v>
      </c>
      <c r="D31" s="149">
        <v>450000</v>
      </c>
      <c r="E31" s="150">
        <f>'Quadro Geral'!L15+'Quadro Geral'!L18+'Quadro Geral'!L23</f>
        <v>450000</v>
      </c>
      <c r="F31" s="96">
        <f>IFERROR(E31/D31-1,0)</f>
        <v>0</v>
      </c>
    </row>
    <row r="32" spans="1:6" ht="36.75" customHeight="1" x14ac:dyDescent="0.35">
      <c r="A32" s="358"/>
      <c r="B32" s="343"/>
      <c r="C32" s="122" t="s">
        <v>266</v>
      </c>
      <c r="D32" s="96">
        <f>IFERROR(D31/$D$20,0)</f>
        <v>3.3201146387479986E-2</v>
      </c>
      <c r="E32" s="96">
        <f>IFERROR(E31/$E$20,0)</f>
        <v>3.2014497758195468E-2</v>
      </c>
      <c r="F32" s="95">
        <f>(E32-D32)*100</f>
        <v>-0.11866486292845188</v>
      </c>
    </row>
    <row r="33" spans="1:6" ht="36.75" customHeight="1" x14ac:dyDescent="0.35">
      <c r="A33" s="358"/>
      <c r="B33" s="343" t="s">
        <v>279</v>
      </c>
      <c r="C33" s="94" t="s">
        <v>93</v>
      </c>
      <c r="D33" s="149">
        <f>'Quadro Geral'!I22+'Quadro Geral'!I23</f>
        <v>280094.43</v>
      </c>
      <c r="E33" s="150">
        <f>'Quadro Geral'!L22+'Quadro Geral'!L23</f>
        <v>312547.89333333337</v>
      </c>
      <c r="F33" s="96">
        <f>IFERROR(E33/D33-1,0)</f>
        <v>0.11586615033127723</v>
      </c>
    </row>
    <row r="34" spans="1:6" ht="36.75" customHeight="1" x14ac:dyDescent="0.35">
      <c r="A34" s="358"/>
      <c r="B34" s="343"/>
      <c r="C34" s="122" t="s">
        <v>266</v>
      </c>
      <c r="D34" s="96">
        <f>IFERROR(D33/$D$20,0)</f>
        <v>2.0665458161661703E-2</v>
      </c>
      <c r="E34" s="96">
        <f>IFERROR(E33/$E$20,0)</f>
        <v>2.2235697400997147E-2</v>
      </c>
      <c r="F34" s="95">
        <f>(E34-D34)*100</f>
        <v>0.15702392393354447</v>
      </c>
    </row>
    <row r="35" spans="1:6" ht="36.75" customHeight="1" x14ac:dyDescent="0.35">
      <c r="A35" s="358"/>
      <c r="B35" s="343" t="s">
        <v>280</v>
      </c>
      <c r="C35" s="94" t="s">
        <v>93</v>
      </c>
      <c r="D35" s="149">
        <v>6531004.5999999996</v>
      </c>
      <c r="E35" s="150">
        <f>'Quadro Geral'!L7+'Quadro Geral'!L16+'Quadro Geral'!L20+'Quadro Geral'!L21+'Quadro Geral'!L25+'Quadro Geral'!L26+'Quadro Geral'!L27+'Quadro Geral'!L33+'Quadro Geral'!L42+'Quadro Geral'!L43+'Quadro Geral'!L44+'Quadro Geral'!L45+'Quadro Geral'!L47+'Quadro Geral'!L51+'Quadro Geral'!L52+'Quadro Geral'!L53+'Quadro Geral'!L54+'Quadro Geral'!L55+'Quadro Geral'!L56</f>
        <v>7376789.3133333353</v>
      </c>
      <c r="F35" s="96">
        <f>IFERROR(E35/D35-1,0)</f>
        <v>0.12950300376963986</v>
      </c>
    </row>
    <row r="36" spans="1:6" ht="36.75" customHeight="1" x14ac:dyDescent="0.35">
      <c r="A36" s="358"/>
      <c r="B36" s="343"/>
      <c r="C36" s="122" t="s">
        <v>266</v>
      </c>
      <c r="D36" s="96">
        <f>IFERROR(D35/$D$20,0)</f>
        <v>0.48185964395978931</v>
      </c>
      <c r="E36" s="96">
        <f>IFERROR(E35/$E$20,0)</f>
        <v>0.52480934429864512</v>
      </c>
      <c r="F36" s="95">
        <f>(E36-D36)*100</f>
        <v>4.2949700338855816</v>
      </c>
    </row>
    <row r="37" spans="1:6" ht="36.75" customHeight="1" x14ac:dyDescent="0.35">
      <c r="A37" s="358"/>
      <c r="B37" s="343" t="s">
        <v>281</v>
      </c>
      <c r="C37" s="94" t="s">
        <v>93</v>
      </c>
      <c r="D37" s="149">
        <f>'Anexo 1. Fontes e Aplicações'!C32</f>
        <v>60000</v>
      </c>
      <c r="E37" s="150">
        <f>'Quadro Geral'!L50</f>
        <v>60000</v>
      </c>
      <c r="F37" s="96">
        <f>IFERROR(E37/D37-1,0)</f>
        <v>0</v>
      </c>
    </row>
    <row r="38" spans="1:6" ht="36.75" customHeight="1" x14ac:dyDescent="0.35">
      <c r="A38" s="358"/>
      <c r="B38" s="343"/>
      <c r="C38" s="122" t="s">
        <v>266</v>
      </c>
      <c r="D38" s="96">
        <f>IFERROR(D37/$D$20,0)</f>
        <v>4.4268195183306651E-3</v>
      </c>
      <c r="E38" s="96">
        <f>IFERROR(E37/$E$20,0)</f>
        <v>4.2685997010927287E-3</v>
      </c>
      <c r="F38" s="95">
        <f>(E38-D38)*100</f>
        <v>-1.5821981723793642E-2</v>
      </c>
    </row>
    <row r="39" spans="1:6" x14ac:dyDescent="0.35"/>
    <row r="40" spans="1:6" x14ac:dyDescent="0.35">
      <c r="A40" s="352" t="s">
        <v>282</v>
      </c>
      <c r="B40" s="353"/>
      <c r="C40" s="353"/>
      <c r="D40" s="353"/>
      <c r="E40" s="353"/>
      <c r="F40" s="354"/>
    </row>
    <row r="41" spans="1:6" ht="66.75" customHeight="1" x14ac:dyDescent="0.35">
      <c r="A41" s="355"/>
      <c r="B41" s="356"/>
      <c r="C41" s="356"/>
      <c r="D41" s="356"/>
      <c r="E41" s="356"/>
      <c r="F41" s="357"/>
    </row>
  </sheetData>
  <sheetProtection selectLockedCells="1"/>
  <mergeCells count="30">
    <mergeCell ref="A1:F1"/>
    <mergeCell ref="A40:F40"/>
    <mergeCell ref="A41:F41"/>
    <mergeCell ref="B31:B32"/>
    <mergeCell ref="A10:B11"/>
    <mergeCell ref="B33:B34"/>
    <mergeCell ref="A22:A38"/>
    <mergeCell ref="A15:A20"/>
    <mergeCell ref="B15:C15"/>
    <mergeCell ref="A4:A7"/>
    <mergeCell ref="B4:C4"/>
    <mergeCell ref="B16:C16"/>
    <mergeCell ref="B5:C5"/>
    <mergeCell ref="B17:C17"/>
    <mergeCell ref="B6:C6"/>
    <mergeCell ref="B7:C7"/>
    <mergeCell ref="B19:C19"/>
    <mergeCell ref="A8:B8"/>
    <mergeCell ref="A9:C9"/>
    <mergeCell ref="A2:F2"/>
    <mergeCell ref="B20:C20"/>
    <mergeCell ref="A12:B13"/>
    <mergeCell ref="B18:C18"/>
    <mergeCell ref="B37:B38"/>
    <mergeCell ref="B35:B36"/>
    <mergeCell ref="B29:B30"/>
    <mergeCell ref="B22:C22"/>
    <mergeCell ref="B23:B24"/>
    <mergeCell ref="B27:B28"/>
    <mergeCell ref="B25:B26"/>
  </mergeCells>
  <phoneticPr fontId="12" type="noConversion"/>
  <conditionalFormatting sqref="D8">
    <cfRule type="cellIs" dxfId="3" priority="25" operator="equal">
      <formula>TRUE</formula>
    </cfRule>
  </conditionalFormatting>
  <printOptions horizontalCentered="1" verticalCentered="1"/>
  <pageMargins left="0" right="0" top="0" bottom="0" header="0" footer="0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rgb="FF92D050"/>
  </sheetPr>
  <dimension ref="A1:XEY60"/>
  <sheetViews>
    <sheetView showGridLines="0" tabSelected="1" zoomScale="70" zoomScaleNormal="70" workbookViewId="0">
      <pane ySplit="5" topLeftCell="A6" activePane="bottomLeft" state="frozen"/>
      <selection pane="bottomLeft" activeCell="A2" sqref="A2:R2"/>
    </sheetView>
  </sheetViews>
  <sheetFormatPr defaultColWidth="0" defaultRowHeight="26" zeroHeight="1" x14ac:dyDescent="0.35"/>
  <cols>
    <col min="1" max="1" width="51.54296875" style="75" customWidth="1"/>
    <col min="2" max="2" width="11.1796875" style="221" customWidth="1"/>
    <col min="3" max="3" width="60.54296875" style="75" customWidth="1"/>
    <col min="4" max="4" width="18.7265625" style="75" bestFit="1" customWidth="1"/>
    <col min="5" max="5" width="5.81640625" style="75" customWidth="1"/>
    <col min="6" max="14" width="16.81640625" style="75" customWidth="1"/>
    <col min="15" max="15" width="18.1796875" style="75" bestFit="1" customWidth="1"/>
    <col min="16" max="16" width="16.81640625" style="75" customWidth="1"/>
    <col min="17" max="17" width="18.1796875" style="75" bestFit="1" customWidth="1"/>
    <col min="18" max="18" width="11.81640625" style="75" customWidth="1"/>
    <col min="19" max="16379" width="16.453125" style="171" hidden="1"/>
    <col min="16380" max="16384" width="10" style="171" hidden="1"/>
  </cols>
  <sheetData>
    <row r="1" spans="1:24" x14ac:dyDescent="0.35">
      <c r="A1" s="304" t="str">
        <f>'Indicadores e Metas'!A1:F1</f>
        <v>CAU/UF:  Conselho de Arquitetura e Urbanismo do Estado de Minas Gerais- CAU/MG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24" x14ac:dyDescent="0.35">
      <c r="A2" s="329" t="s">
        <v>591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1"/>
    </row>
    <row r="3" spans="1:24" x14ac:dyDescent="0.35"/>
    <row r="4" spans="1:24" s="90" customFormat="1" ht="25.5" customHeight="1" x14ac:dyDescent="0.35">
      <c r="A4" s="283" t="s">
        <v>204</v>
      </c>
      <c r="B4" s="369" t="str">
        <f>'Quadro Geral'!B5</f>
        <v>P/A/ PE</v>
      </c>
      <c r="C4" s="367" t="s">
        <v>283</v>
      </c>
      <c r="D4" s="367" t="s">
        <v>540</v>
      </c>
      <c r="E4" s="172"/>
      <c r="F4" s="368" t="s">
        <v>284</v>
      </c>
      <c r="G4" s="368"/>
      <c r="H4" s="365" t="s">
        <v>285</v>
      </c>
      <c r="I4" s="361" t="s">
        <v>286</v>
      </c>
      <c r="J4" s="362"/>
      <c r="K4" s="362"/>
      <c r="L4" s="363" t="s">
        <v>287</v>
      </c>
      <c r="M4" s="363" t="s">
        <v>288</v>
      </c>
      <c r="N4" s="363" t="s">
        <v>289</v>
      </c>
      <c r="O4" s="363" t="s">
        <v>290</v>
      </c>
      <c r="P4" s="367" t="s">
        <v>291</v>
      </c>
      <c r="Q4" s="368" t="s">
        <v>243</v>
      </c>
      <c r="R4" s="368" t="s">
        <v>292</v>
      </c>
    </row>
    <row r="5" spans="1:24" s="90" customFormat="1" ht="31" x14ac:dyDescent="0.35">
      <c r="A5" s="283"/>
      <c r="B5" s="370"/>
      <c r="C5" s="367"/>
      <c r="D5" s="367"/>
      <c r="E5" s="172"/>
      <c r="F5" s="112" t="s">
        <v>293</v>
      </c>
      <c r="G5" s="112" t="s">
        <v>294</v>
      </c>
      <c r="H5" s="366"/>
      <c r="I5" s="112" t="s">
        <v>294</v>
      </c>
      <c r="J5" s="112" t="s">
        <v>295</v>
      </c>
      <c r="K5" s="112" t="s">
        <v>296</v>
      </c>
      <c r="L5" s="363"/>
      <c r="M5" s="363"/>
      <c r="N5" s="363"/>
      <c r="O5" s="363"/>
      <c r="P5" s="367"/>
      <c r="Q5" s="368"/>
      <c r="R5" s="368"/>
      <c r="S5" s="103"/>
      <c r="T5" s="103"/>
      <c r="U5" s="103"/>
      <c r="V5" s="103"/>
      <c r="W5" s="103"/>
      <c r="X5" s="103"/>
    </row>
    <row r="6" spans="1:24" ht="33" customHeight="1" x14ac:dyDescent="0.35">
      <c r="A6" s="92" t="str">
        <f>'Quadro Geral'!A7</f>
        <v>Plenário dos Conselheiros</v>
      </c>
      <c r="B6" s="219" t="str">
        <f>'Quadro Geral'!B7</f>
        <v>A</v>
      </c>
      <c r="C6" s="93" t="str">
        <f>'Quadro Geral'!D7</f>
        <v>Manter e Desenvolver as Atividades da Comissão de Organização e Administração</v>
      </c>
      <c r="D6" s="143">
        <f>'Quadro Geral'!L7</f>
        <v>208971.39</v>
      </c>
      <c r="E6" s="173"/>
      <c r="F6" s="229"/>
      <c r="G6" s="229"/>
      <c r="H6" s="229"/>
      <c r="I6" s="229">
        <v>126529.4</v>
      </c>
      <c r="J6" s="229">
        <v>82441.990000000005</v>
      </c>
      <c r="K6" s="229"/>
      <c r="L6" s="229"/>
      <c r="M6" s="229"/>
      <c r="N6" s="229"/>
      <c r="O6" s="145">
        <f>SUM(F6:N6)</f>
        <v>208971.39</v>
      </c>
      <c r="P6" s="144"/>
      <c r="Q6" s="145">
        <f>O6+P6</f>
        <v>208971.39</v>
      </c>
      <c r="R6" s="148">
        <f t="shared" ref="R6:R55" si="0">IFERROR(Q6/$Q$56,0)</f>
        <v>1.089146335478083E-2</v>
      </c>
    </row>
    <row r="7" spans="1:24" ht="33" customHeight="1" x14ac:dyDescent="0.35">
      <c r="A7" s="92" t="str">
        <f>'Quadro Geral'!A8</f>
        <v>Plenário dos Conselheiros</v>
      </c>
      <c r="B7" s="219" t="str">
        <f>'Quadro Geral'!B8</f>
        <v>A</v>
      </c>
      <c r="C7" s="93" t="str">
        <f>'Quadro Geral'!D8</f>
        <v>Manter e Desenvolver as Atividades da Comissão de Planejamento e Finanças</v>
      </c>
      <c r="D7" s="143">
        <f>'Quadro Geral'!L8</f>
        <v>166828.94</v>
      </c>
      <c r="E7" s="173"/>
      <c r="F7" s="229"/>
      <c r="G7" s="229"/>
      <c r="H7" s="229"/>
      <c r="I7" s="229">
        <v>83414.47</v>
      </c>
      <c r="J7" s="229">
        <v>83414.47</v>
      </c>
      <c r="K7" s="229"/>
      <c r="L7" s="229"/>
      <c r="M7" s="229"/>
      <c r="N7" s="229"/>
      <c r="O7" s="145">
        <f t="shared" ref="O7:O55" si="1">SUM(F7:N7)</f>
        <v>166828.94</v>
      </c>
      <c r="P7" s="144"/>
      <c r="Q7" s="145">
        <f t="shared" ref="Q7:Q45" si="2">O7+P7</f>
        <v>166828.94</v>
      </c>
      <c r="R7" s="148">
        <f t="shared" si="0"/>
        <v>8.6950241682697809E-3</v>
      </c>
    </row>
    <row r="8" spans="1:24" ht="33" customHeight="1" x14ac:dyDescent="0.35">
      <c r="A8" s="92" t="str">
        <f>'Quadro Geral'!A9</f>
        <v>Plenário dos Conselheiros</v>
      </c>
      <c r="B8" s="219" t="str">
        <f>'Quadro Geral'!B9</f>
        <v>A</v>
      </c>
      <c r="C8" s="93" t="str">
        <f>'Quadro Geral'!D9</f>
        <v>Manter e Desenvolver as Atividades da Comissão de Ética e Disciplina</v>
      </c>
      <c r="D8" s="143">
        <f>'Quadro Geral'!L9</f>
        <v>198229.56000000003</v>
      </c>
      <c r="E8" s="173"/>
      <c r="F8" s="229"/>
      <c r="G8" s="229"/>
      <c r="H8" s="229"/>
      <c r="I8" s="229">
        <v>99114.78</v>
      </c>
      <c r="J8" s="229">
        <v>99114.78</v>
      </c>
      <c r="K8" s="229"/>
      <c r="L8" s="229"/>
      <c r="M8" s="229"/>
      <c r="N8" s="229"/>
      <c r="O8" s="145">
        <f t="shared" si="1"/>
        <v>198229.56</v>
      </c>
      <c r="P8" s="144"/>
      <c r="Q8" s="145">
        <f t="shared" si="2"/>
        <v>198229.56</v>
      </c>
      <c r="R8" s="148">
        <f t="shared" si="0"/>
        <v>1.0331605625891313E-2</v>
      </c>
    </row>
    <row r="9" spans="1:24" ht="33" customHeight="1" x14ac:dyDescent="0.35">
      <c r="A9" s="92" t="str">
        <f>'Quadro Geral'!A10</f>
        <v>Plenário dos Conselheiros</v>
      </c>
      <c r="B9" s="219" t="str">
        <f>'Quadro Geral'!B10</f>
        <v>A</v>
      </c>
      <c r="C9" s="93" t="str">
        <f>'Quadro Geral'!D10</f>
        <v>Comissão de Ensino e Formação (CEF)</v>
      </c>
      <c r="D9" s="143">
        <f>'Quadro Geral'!L10</f>
        <v>195444.7233333333</v>
      </c>
      <c r="E9" s="173"/>
      <c r="F9" s="229"/>
      <c r="G9" s="229"/>
      <c r="H9" s="229"/>
      <c r="I9" s="229">
        <v>106482.65</v>
      </c>
      <c r="J9" s="229">
        <v>78962.073333333305</v>
      </c>
      <c r="K9" s="229"/>
      <c r="L9" s="229">
        <v>10000</v>
      </c>
      <c r="M9" s="229"/>
      <c r="N9" s="229"/>
      <c r="O9" s="145">
        <f t="shared" si="1"/>
        <v>195444.7233333333</v>
      </c>
      <c r="P9" s="144"/>
      <c r="Q9" s="145">
        <f t="shared" si="2"/>
        <v>195444.7233333333</v>
      </c>
      <c r="R9" s="148">
        <f t="shared" si="0"/>
        <v>1.0186461611181691E-2</v>
      </c>
    </row>
    <row r="10" spans="1:24" ht="33" customHeight="1" x14ac:dyDescent="0.35">
      <c r="A10" s="92" t="str">
        <f>'Quadro Geral'!A11</f>
        <v>Plenário dos Conselheiros</v>
      </c>
      <c r="B10" s="219" t="str">
        <f>'Quadro Geral'!B11</f>
        <v>A</v>
      </c>
      <c r="C10" s="93" t="str">
        <f>'Quadro Geral'!D11</f>
        <v>Manter e Desenvolver as Atividades da Comissão de Exercício Profissional</v>
      </c>
      <c r="D10" s="143">
        <f>'Quadro Geral'!L11</f>
        <v>380452.63</v>
      </c>
      <c r="E10" s="173"/>
      <c r="F10" s="229"/>
      <c r="G10" s="229"/>
      <c r="H10" s="229"/>
      <c r="I10" s="229">
        <v>190226.315</v>
      </c>
      <c r="J10" s="229">
        <v>190226.315</v>
      </c>
      <c r="K10" s="229"/>
      <c r="L10" s="229"/>
      <c r="M10" s="229"/>
      <c r="N10" s="229"/>
      <c r="O10" s="145">
        <f t="shared" si="1"/>
        <v>380452.63</v>
      </c>
      <c r="P10" s="144"/>
      <c r="Q10" s="145">
        <f t="shared" si="2"/>
        <v>380452.63</v>
      </c>
      <c r="R10" s="148">
        <f t="shared" si="0"/>
        <v>1.9828962605239836E-2</v>
      </c>
    </row>
    <row r="11" spans="1:24" ht="33" customHeight="1" x14ac:dyDescent="0.35">
      <c r="A11" s="92" t="str">
        <f>'Quadro Geral'!A12</f>
        <v>Presidência</v>
      </c>
      <c r="B11" s="219" t="str">
        <f>'Quadro Geral'!B12</f>
        <v>A</v>
      </c>
      <c r="C11" s="93" t="str">
        <f>'Quadro Geral'!D12</f>
        <v>Manter e Desenvolver as Atividades da Presidência e dos Conselheiros Federais</v>
      </c>
      <c r="D11" s="143">
        <f>'Quadro Geral'!L12</f>
        <v>132922.05666666667</v>
      </c>
      <c r="E11" s="173"/>
      <c r="F11" s="229"/>
      <c r="G11" s="229"/>
      <c r="H11" s="229"/>
      <c r="I11" s="229">
        <v>34883.21</v>
      </c>
      <c r="J11" s="229">
        <v>58038.846666666665</v>
      </c>
      <c r="K11" s="229"/>
      <c r="L11" s="229">
        <v>40000</v>
      </c>
      <c r="M11" s="229"/>
      <c r="N11" s="229"/>
      <c r="O11" s="145">
        <f t="shared" si="1"/>
        <v>132922.05666666667</v>
      </c>
      <c r="P11" s="144"/>
      <c r="Q11" s="145">
        <f t="shared" si="2"/>
        <v>132922.05666666667</v>
      </c>
      <c r="R11" s="148">
        <f t="shared" si="0"/>
        <v>6.9278177707824068E-3</v>
      </c>
    </row>
    <row r="12" spans="1:24" ht="33" customHeight="1" x14ac:dyDescent="0.35">
      <c r="A12" s="92" t="str">
        <f>'Quadro Geral'!A13</f>
        <v>Presidência</v>
      </c>
      <c r="B12" s="219" t="str">
        <f>'Quadro Geral'!B13</f>
        <v>P</v>
      </c>
      <c r="C12" s="93" t="str">
        <f>'Quadro Geral'!D13</f>
        <v>Representação Institucional do CAU/MG</v>
      </c>
      <c r="D12" s="143">
        <f>'Quadro Geral'!L13</f>
        <v>50000</v>
      </c>
      <c r="E12" s="173"/>
      <c r="F12" s="229"/>
      <c r="G12" s="229"/>
      <c r="H12" s="229"/>
      <c r="I12" s="229">
        <v>25000</v>
      </c>
      <c r="J12" s="229">
        <v>25000</v>
      </c>
      <c r="K12" s="229"/>
      <c r="L12" s="229"/>
      <c r="M12" s="229"/>
      <c r="N12" s="229"/>
      <c r="O12" s="145">
        <f t="shared" si="1"/>
        <v>50000</v>
      </c>
      <c r="P12" s="144"/>
      <c r="Q12" s="145">
        <f t="shared" si="2"/>
        <v>50000</v>
      </c>
      <c r="R12" s="148">
        <f t="shared" si="0"/>
        <v>2.6059699738755697E-3</v>
      </c>
    </row>
    <row r="13" spans="1:24" ht="33" customHeight="1" x14ac:dyDescent="0.35">
      <c r="A13" s="92" t="str">
        <f>'Quadro Geral'!A14</f>
        <v>Plenário dos Conselheiros</v>
      </c>
      <c r="B13" s="219" t="str">
        <f>'Quadro Geral'!B14</f>
        <v>A</v>
      </c>
      <c r="C13" s="93" t="str">
        <f>'Quadro Geral'!D14</f>
        <v>Manter e Desenvolver as Atividades do Colegiado das Entidades Estaduais CEAU</v>
      </c>
      <c r="D13" s="143">
        <f>'Quadro Geral'!L14</f>
        <v>35000</v>
      </c>
      <c r="E13" s="173"/>
      <c r="F13" s="229"/>
      <c r="G13" s="229"/>
      <c r="H13" s="229"/>
      <c r="I13" s="229">
        <v>5000</v>
      </c>
      <c r="J13" s="229">
        <v>5000</v>
      </c>
      <c r="K13" s="229">
        <v>25000</v>
      </c>
      <c r="L13" s="229"/>
      <c r="M13" s="229"/>
      <c r="N13" s="229"/>
      <c r="O13" s="145">
        <f t="shared" si="1"/>
        <v>35000</v>
      </c>
      <c r="P13" s="144"/>
      <c r="Q13" s="145">
        <f t="shared" si="2"/>
        <v>35000</v>
      </c>
      <c r="R13" s="148">
        <f t="shared" si="0"/>
        <v>1.8241789817128988E-3</v>
      </c>
    </row>
    <row r="14" spans="1:24" ht="33" customHeight="1" x14ac:dyDescent="0.35">
      <c r="A14" s="92" t="str">
        <f>'Quadro Geral'!A15</f>
        <v>Colegiado das Entidades Estaduais de Arquitetos e Urbanistas do CAU/MG (CEAU)</v>
      </c>
      <c r="B14" s="219" t="str">
        <f>'Quadro Geral'!B15</f>
        <v>PE</v>
      </c>
      <c r="C14" s="93" t="str">
        <f>'Quadro Geral'!D15</f>
        <v>Edital de Patrocínio- Parceria Entidades de Arquitetos e Urbanistas</v>
      </c>
      <c r="D14" s="143">
        <f>'Quadro Geral'!L15</f>
        <v>100000</v>
      </c>
      <c r="E14" s="173"/>
      <c r="F14" s="229"/>
      <c r="G14" s="229"/>
      <c r="H14" s="229"/>
      <c r="I14" s="229"/>
      <c r="J14" s="229"/>
      <c r="K14" s="229"/>
      <c r="L14" s="229">
        <v>100000</v>
      </c>
      <c r="M14" s="229"/>
      <c r="N14" s="229"/>
      <c r="O14" s="145">
        <f t="shared" si="1"/>
        <v>100000</v>
      </c>
      <c r="P14" s="144"/>
      <c r="Q14" s="145">
        <f t="shared" si="2"/>
        <v>100000</v>
      </c>
      <c r="R14" s="148">
        <f t="shared" si="0"/>
        <v>5.2119399477511394E-3</v>
      </c>
    </row>
    <row r="15" spans="1:24" ht="33" customHeight="1" x14ac:dyDescent="0.35">
      <c r="A15" s="92" t="str">
        <f>'Quadro Geral'!A16</f>
        <v>Plenário dos Conselheiros</v>
      </c>
      <c r="B15" s="219" t="str">
        <f>'Quadro Geral'!B16</f>
        <v>A</v>
      </c>
      <c r="C15" s="93" t="str">
        <f>'Quadro Geral'!D16</f>
        <v>Manter e Desenvolver as Atividades de Comissões Temporárias</v>
      </c>
      <c r="D15" s="143">
        <f>'Quadro Geral'!L16</f>
        <v>30000</v>
      </c>
      <c r="E15" s="173"/>
      <c r="F15" s="229"/>
      <c r="G15" s="229"/>
      <c r="H15" s="229"/>
      <c r="I15" s="229">
        <v>15000</v>
      </c>
      <c r="J15" s="229">
        <v>15000</v>
      </c>
      <c r="K15" s="229"/>
      <c r="L15" s="229"/>
      <c r="M15" s="229"/>
      <c r="N15" s="229"/>
      <c r="O15" s="145">
        <f t="shared" si="1"/>
        <v>30000</v>
      </c>
      <c r="P15" s="144"/>
      <c r="Q15" s="145">
        <f t="shared" si="2"/>
        <v>30000</v>
      </c>
      <c r="R15" s="148">
        <f t="shared" si="0"/>
        <v>1.5635819843253418E-3</v>
      </c>
    </row>
    <row r="16" spans="1:24" ht="33" customHeight="1" x14ac:dyDescent="0.35">
      <c r="A16" s="92" t="str">
        <f>'Quadro Geral'!A17</f>
        <v>Plenário dos Conselheiros</v>
      </c>
      <c r="B16" s="219" t="str">
        <f>'Quadro Geral'!B17</f>
        <v>A</v>
      </c>
      <c r="C16" s="93" t="str">
        <f>'Quadro Geral'!D17</f>
        <v>Manter e Desenvolver as Atividades da CPUA</v>
      </c>
      <c r="D16" s="143">
        <f>'Quadro Geral'!L17</f>
        <v>71236.566666666666</v>
      </c>
      <c r="E16" s="173"/>
      <c r="F16" s="229"/>
      <c r="G16" s="229"/>
      <c r="H16" s="229"/>
      <c r="I16" s="229">
        <v>35618.283333333333</v>
      </c>
      <c r="J16" s="229">
        <v>35618.283333333333</v>
      </c>
      <c r="K16" s="229"/>
      <c r="L16" s="229"/>
      <c r="M16" s="229"/>
      <c r="N16" s="229"/>
      <c r="O16" s="145">
        <f t="shared" si="1"/>
        <v>71236.566666666666</v>
      </c>
      <c r="P16" s="144"/>
      <c r="Q16" s="145">
        <f t="shared" si="2"/>
        <v>71236.566666666666</v>
      </c>
      <c r="R16" s="148">
        <f t="shared" si="0"/>
        <v>3.7128070755063722E-3</v>
      </c>
    </row>
    <row r="17" spans="1:18" ht="33" customHeight="1" x14ac:dyDescent="0.35">
      <c r="A17" s="92" t="str">
        <f>'Quadro Geral'!A18</f>
        <v>Comissão Especial de Política Urbana e Ambiental (CPUA)</v>
      </c>
      <c r="B17" s="219" t="str">
        <f>'Quadro Geral'!B18</f>
        <v>PE</v>
      </c>
      <c r="C17" s="93" t="str">
        <f>'Quadro Geral'!D18</f>
        <v>Edital de Patrocínio na Modalidade Política Urbana</v>
      </c>
      <c r="D17" s="143">
        <f>'Quadro Geral'!L18</f>
        <v>100000</v>
      </c>
      <c r="E17" s="173"/>
      <c r="F17" s="229"/>
      <c r="G17" s="229"/>
      <c r="H17" s="229"/>
      <c r="I17" s="229"/>
      <c r="J17" s="229"/>
      <c r="K17" s="229"/>
      <c r="L17" s="229">
        <v>100000</v>
      </c>
      <c r="M17" s="229"/>
      <c r="N17" s="229"/>
      <c r="O17" s="145">
        <f t="shared" si="1"/>
        <v>100000</v>
      </c>
      <c r="P17" s="144"/>
      <c r="Q17" s="145">
        <f t="shared" si="2"/>
        <v>100000</v>
      </c>
      <c r="R17" s="148">
        <f t="shared" si="0"/>
        <v>5.2119399477511394E-3</v>
      </c>
    </row>
    <row r="18" spans="1:18" ht="33" customHeight="1" x14ac:dyDescent="0.35">
      <c r="A18" s="92" t="str">
        <f>'Quadro Geral'!A19</f>
        <v>Comissão Especial de Política Urbana e Ambiental (CPUA)</v>
      </c>
      <c r="B18" s="219" t="str">
        <f>'Quadro Geral'!B19</f>
        <v>PE</v>
      </c>
      <c r="C18" s="93" t="str">
        <f>'Quadro Geral'!D19</f>
        <v>Capacitação em Regularização Fundiária</v>
      </c>
      <c r="D18" s="143">
        <f>'Quadro Geral'!L19</f>
        <v>50000</v>
      </c>
      <c r="E18" s="173"/>
      <c r="F18" s="229"/>
      <c r="G18" s="229"/>
      <c r="H18" s="229"/>
      <c r="I18" s="229"/>
      <c r="J18" s="229"/>
      <c r="K18" s="229">
        <v>50000</v>
      </c>
      <c r="L18" s="229"/>
      <c r="M18" s="229"/>
      <c r="N18" s="229"/>
      <c r="O18" s="145">
        <f t="shared" si="1"/>
        <v>50000</v>
      </c>
      <c r="P18" s="144"/>
      <c r="Q18" s="145">
        <f t="shared" si="2"/>
        <v>50000</v>
      </c>
      <c r="R18" s="148">
        <f t="shared" si="0"/>
        <v>2.6059699738755697E-3</v>
      </c>
    </row>
    <row r="19" spans="1:18" ht="33" customHeight="1" x14ac:dyDescent="0.35">
      <c r="A19" s="92" t="str">
        <f>'Quadro Geral'!A20</f>
        <v>Plenário dos Conselheiros</v>
      </c>
      <c r="B19" s="219" t="str">
        <f>'Quadro Geral'!B20</f>
        <v>A</v>
      </c>
      <c r="C19" s="93" t="str">
        <f>'Quadro Geral'!D20</f>
        <v>Manter e Desenvolver as Atividades da CATHIS</v>
      </c>
      <c r="D19" s="143">
        <f>'Quadro Geral'!L20</f>
        <v>81628.773333333331</v>
      </c>
      <c r="E19" s="173"/>
      <c r="F19" s="229"/>
      <c r="G19" s="229"/>
      <c r="H19" s="229"/>
      <c r="I19" s="229">
        <v>40814.386666666665</v>
      </c>
      <c r="J19" s="229">
        <v>40814.386666666665</v>
      </c>
      <c r="K19" s="229"/>
      <c r="L19" s="229"/>
      <c r="M19" s="229"/>
      <c r="N19" s="229"/>
      <c r="O19" s="145">
        <f t="shared" si="1"/>
        <v>81628.773333333331</v>
      </c>
      <c r="P19" s="144"/>
      <c r="Q19" s="145">
        <f t="shared" si="2"/>
        <v>81628.773333333331</v>
      </c>
      <c r="R19" s="148">
        <f t="shared" si="0"/>
        <v>4.2544426462192289E-3</v>
      </c>
    </row>
    <row r="20" spans="1:18" ht="33" customHeight="1" x14ac:dyDescent="0.35">
      <c r="A20" s="92" t="str">
        <f>'Quadro Geral'!A21</f>
        <v>Comissão Especial de Assistência Técnica para Habitação de Interesse Social (Cathis)</v>
      </c>
      <c r="B20" s="219" t="str">
        <f>'Quadro Geral'!B21</f>
        <v>PE</v>
      </c>
      <c r="C20" s="93" t="str">
        <f>'Quadro Geral'!D21</f>
        <v>Assistência Técnica para Habitação de Interesse Social (ATHIS)</v>
      </c>
      <c r="D20" s="143">
        <f>'Quadro Geral'!L21</f>
        <v>500000</v>
      </c>
      <c r="E20" s="173"/>
      <c r="F20" s="229"/>
      <c r="G20" s="229"/>
      <c r="H20" s="229"/>
      <c r="I20" s="229"/>
      <c r="J20" s="229"/>
      <c r="K20" s="229"/>
      <c r="L20" s="229">
        <v>500000</v>
      </c>
      <c r="M20" s="229"/>
      <c r="N20" s="229"/>
      <c r="O20" s="145">
        <f t="shared" si="1"/>
        <v>500000</v>
      </c>
      <c r="P20" s="144"/>
      <c r="Q20" s="145">
        <f t="shared" si="2"/>
        <v>500000</v>
      </c>
      <c r="R20" s="148">
        <f t="shared" si="0"/>
        <v>2.6059699738755698E-2</v>
      </c>
    </row>
    <row r="21" spans="1:18" ht="33" customHeight="1" x14ac:dyDescent="0.35">
      <c r="A21" s="92" t="str">
        <f>'Quadro Geral'!A22</f>
        <v>Plenário dos Conselheiros</v>
      </c>
      <c r="B21" s="219" t="str">
        <f>'Quadro Geral'!B22</f>
        <v>A</v>
      </c>
      <c r="C21" s="93" t="str">
        <f>'Quadro Geral'!D22</f>
        <v>Manter e Desenvolver as Atividades da CPC</v>
      </c>
      <c r="D21" s="143">
        <f>'Quadro Geral'!L22</f>
        <v>62547.893333333348</v>
      </c>
      <c r="E21" s="173"/>
      <c r="F21" s="229"/>
      <c r="G21" s="229"/>
      <c r="H21" s="229"/>
      <c r="I21" s="229">
        <v>31273.946666666674</v>
      </c>
      <c r="J21" s="229">
        <v>31273.946666666674</v>
      </c>
      <c r="K21" s="229"/>
      <c r="L21" s="229"/>
      <c r="M21" s="229"/>
      <c r="N21" s="229"/>
      <c r="O21" s="145">
        <f t="shared" si="1"/>
        <v>62547.893333333348</v>
      </c>
      <c r="P21" s="144"/>
      <c r="Q21" s="145">
        <f t="shared" si="2"/>
        <v>62547.893333333348</v>
      </c>
      <c r="R21" s="148">
        <f t="shared" si="0"/>
        <v>3.2599586391167728E-3</v>
      </c>
    </row>
    <row r="22" spans="1:18" ht="33" customHeight="1" x14ac:dyDescent="0.35">
      <c r="A22" s="92" t="str">
        <f>'Quadro Geral'!A23</f>
        <v>Comissão Especial de Patrimônio Cultural (CPC)</v>
      </c>
      <c r="B22" s="219" t="str">
        <f>'Quadro Geral'!B23</f>
        <v>PE</v>
      </c>
      <c r="C22" s="93" t="str">
        <f>'Quadro Geral'!D23</f>
        <v>Edital de Patrocínio Modalidade Patrimônio Cultural</v>
      </c>
      <c r="D22" s="143">
        <f>'Quadro Geral'!L23</f>
        <v>250000</v>
      </c>
      <c r="E22" s="173"/>
      <c r="F22" s="229"/>
      <c r="G22" s="229"/>
      <c r="H22" s="229"/>
      <c r="I22" s="229"/>
      <c r="J22" s="229"/>
      <c r="K22" s="229"/>
      <c r="L22" s="229">
        <v>250000</v>
      </c>
      <c r="M22" s="229"/>
      <c r="N22" s="229"/>
      <c r="O22" s="145">
        <f t="shared" si="1"/>
        <v>250000</v>
      </c>
      <c r="P22" s="144"/>
      <c r="Q22" s="145">
        <f t="shared" si="2"/>
        <v>250000</v>
      </c>
      <c r="R22" s="148">
        <f t="shared" si="0"/>
        <v>1.3029849869377849E-2</v>
      </c>
    </row>
    <row r="23" spans="1:18" ht="33" customHeight="1" x14ac:dyDescent="0.35">
      <c r="A23" s="92" t="str">
        <f>'Quadro Geral'!A24</f>
        <v>Presidência</v>
      </c>
      <c r="B23" s="219" t="str">
        <f>'Quadro Geral'!B24</f>
        <v>A</v>
      </c>
      <c r="C23" s="93" t="str">
        <f>'Quadro Geral'!D24</f>
        <v>Manter e Desenvolver as Atividades do Conselho Diretor</v>
      </c>
      <c r="D23" s="143">
        <f>'Quadro Geral'!L24</f>
        <v>148278.88</v>
      </c>
      <c r="E23" s="173"/>
      <c r="F23" s="229"/>
      <c r="G23" s="229"/>
      <c r="H23" s="229"/>
      <c r="I23" s="229">
        <v>74139.44</v>
      </c>
      <c r="J23" s="229">
        <v>74139.44</v>
      </c>
      <c r="K23" s="229"/>
      <c r="L23" s="229"/>
      <c r="M23" s="229"/>
      <c r="N23" s="229"/>
      <c r="O23" s="145">
        <f t="shared" si="1"/>
        <v>148278.88</v>
      </c>
      <c r="P23" s="144"/>
      <c r="Q23" s="145">
        <f t="shared" si="2"/>
        <v>148278.88</v>
      </c>
      <c r="R23" s="148">
        <f t="shared" si="0"/>
        <v>7.7282061807979752E-3</v>
      </c>
    </row>
    <row r="24" spans="1:18" ht="33" customHeight="1" x14ac:dyDescent="0.35">
      <c r="A24" s="92" t="str">
        <f>'Quadro Geral'!A25</f>
        <v>Presidência</v>
      </c>
      <c r="B24" s="219" t="str">
        <f>'Quadro Geral'!B25</f>
        <v>A</v>
      </c>
      <c r="C24" s="93" t="str">
        <f>'Quadro Geral'!D25</f>
        <v>Manter e Desenvolver as Atividades da Secretaria Geral</v>
      </c>
      <c r="D24" s="143">
        <f>'Quadro Geral'!L25</f>
        <v>527910.89</v>
      </c>
      <c r="E24" s="173"/>
      <c r="F24" s="229">
        <v>484382.96</v>
      </c>
      <c r="G24" s="229">
        <v>6002</v>
      </c>
      <c r="H24" s="229"/>
      <c r="I24" s="229"/>
      <c r="J24" s="229"/>
      <c r="K24" s="229">
        <v>37525.93</v>
      </c>
      <c r="L24" s="229"/>
      <c r="M24" s="229"/>
      <c r="N24" s="229"/>
      <c r="O24" s="145">
        <f t="shared" si="1"/>
        <v>527910.89</v>
      </c>
      <c r="P24" s="144"/>
      <c r="Q24" s="145">
        <f t="shared" si="2"/>
        <v>527910.89</v>
      </c>
      <c r="R24" s="148">
        <f t="shared" si="0"/>
        <v>2.7514398564438578E-2</v>
      </c>
    </row>
    <row r="25" spans="1:18" ht="33" customHeight="1" x14ac:dyDescent="0.35">
      <c r="A25" s="92" t="str">
        <f>'Quadro Geral'!A26</f>
        <v>Secretaria Geral</v>
      </c>
      <c r="B25" s="219" t="str">
        <f>'Quadro Geral'!B26</f>
        <v>PE</v>
      </c>
      <c r="C25" s="93" t="str">
        <f>'Quadro Geral'!D26</f>
        <v>Gestão Documental do CAU/MG</v>
      </c>
      <c r="D25" s="143">
        <f>'Quadro Geral'!L26</f>
        <v>150000</v>
      </c>
      <c r="E25" s="173"/>
      <c r="F25" s="229"/>
      <c r="G25" s="229"/>
      <c r="H25" s="229"/>
      <c r="I25" s="229"/>
      <c r="J25" s="229"/>
      <c r="K25" s="229">
        <v>150000</v>
      </c>
      <c r="L25" s="229"/>
      <c r="M25" s="229"/>
      <c r="N25" s="229"/>
      <c r="O25" s="145">
        <f t="shared" si="1"/>
        <v>150000</v>
      </c>
      <c r="P25" s="144"/>
      <c r="Q25" s="145">
        <f t="shared" si="2"/>
        <v>150000</v>
      </c>
      <c r="R25" s="148">
        <f t="shared" si="0"/>
        <v>7.8179099216267086E-3</v>
      </c>
    </row>
    <row r="26" spans="1:18" ht="33" customHeight="1" x14ac:dyDescent="0.35">
      <c r="A26" s="92" t="str">
        <f>'Quadro Geral'!A27</f>
        <v>Presidência</v>
      </c>
      <c r="B26" s="219" t="str">
        <f>'Quadro Geral'!B27</f>
        <v>A</v>
      </c>
      <c r="C26" s="93" t="str">
        <f>'Quadro Geral'!D27</f>
        <v>Manter e Desenvolver as Atividades da Ouvidoria</v>
      </c>
      <c r="D26" s="143">
        <f>'Quadro Geral'!L27</f>
        <v>323592.09000000003</v>
      </c>
      <c r="E26" s="173"/>
      <c r="F26" s="229">
        <v>279206.08999999997</v>
      </c>
      <c r="G26" s="229">
        <v>17500</v>
      </c>
      <c r="H26" s="229"/>
      <c r="I26" s="229"/>
      <c r="J26" s="229">
        <v>17500</v>
      </c>
      <c r="K26" s="229">
        <v>9386</v>
      </c>
      <c r="L26" s="229"/>
      <c r="M26" s="229"/>
      <c r="N26" s="229"/>
      <c r="O26" s="145">
        <f t="shared" si="1"/>
        <v>323592.08999999997</v>
      </c>
      <c r="P26" s="144"/>
      <c r="Q26" s="145">
        <f t="shared" si="2"/>
        <v>323592.08999999997</v>
      </c>
      <c r="R26" s="148">
        <f t="shared" si="0"/>
        <v>1.6865425406472821E-2</v>
      </c>
    </row>
    <row r="27" spans="1:18" ht="33" customHeight="1" x14ac:dyDescent="0.35">
      <c r="A27" s="92" t="str">
        <f>'Quadro Geral'!A28</f>
        <v>Gerência Administrativa</v>
      </c>
      <c r="B27" s="219" t="str">
        <f>'Quadro Geral'!B28</f>
        <v>A</v>
      </c>
      <c r="C27" s="93" t="str">
        <f>'Quadro Geral'!D28</f>
        <v>Capacitações</v>
      </c>
      <c r="D27" s="143">
        <f>'Quadro Geral'!L28</f>
        <v>202332.27</v>
      </c>
      <c r="E27" s="173"/>
      <c r="F27" s="229"/>
      <c r="G27" s="229">
        <v>70000</v>
      </c>
      <c r="H27" s="229"/>
      <c r="I27" s="229"/>
      <c r="J27" s="229">
        <v>108390.65</v>
      </c>
      <c r="K27" s="229">
        <v>23941.620000000003</v>
      </c>
      <c r="L27" s="229"/>
      <c r="M27" s="229"/>
      <c r="N27" s="229"/>
      <c r="O27" s="145">
        <f t="shared" si="1"/>
        <v>202332.27</v>
      </c>
      <c r="P27" s="144"/>
      <c r="Q27" s="145">
        <f t="shared" si="2"/>
        <v>202332.27</v>
      </c>
      <c r="R27" s="148">
        <f t="shared" si="0"/>
        <v>1.0545436407321694E-2</v>
      </c>
    </row>
    <row r="28" spans="1:18" ht="33" customHeight="1" x14ac:dyDescent="0.35">
      <c r="A28" s="92" t="str">
        <f>'Quadro Geral'!A29</f>
        <v>Presidência</v>
      </c>
      <c r="B28" s="219" t="str">
        <f>'Quadro Geral'!B29</f>
        <v>A</v>
      </c>
      <c r="C28" s="93" t="str">
        <f>'Quadro Geral'!D29</f>
        <v>Manter e Desenvolver as atividades da Chefia de Gabinete</v>
      </c>
      <c r="D28" s="143">
        <f>'Quadro Geral'!L29</f>
        <v>212950.63666666666</v>
      </c>
      <c r="E28" s="173"/>
      <c r="F28" s="229">
        <v>171032.49</v>
      </c>
      <c r="G28" s="229">
        <v>11918.15</v>
      </c>
      <c r="H28" s="229"/>
      <c r="I28" s="229"/>
      <c r="J28" s="229">
        <v>10000</v>
      </c>
      <c r="K28" s="229">
        <v>20000</v>
      </c>
      <c r="L28" s="229"/>
      <c r="M28" s="229"/>
      <c r="N28" s="229"/>
      <c r="O28" s="145">
        <f t="shared" si="1"/>
        <v>212950.63999999998</v>
      </c>
      <c r="P28" s="144"/>
      <c r="Q28" s="145">
        <f t="shared" si="2"/>
        <v>212950.63999999998</v>
      </c>
      <c r="R28" s="148">
        <f t="shared" si="0"/>
        <v>1.1098859475151717E-2</v>
      </c>
    </row>
    <row r="29" spans="1:18" ht="33" customHeight="1" x14ac:dyDescent="0.35">
      <c r="A29" s="92" t="str">
        <f>'Quadro Geral'!A30</f>
        <v>Chefia de Gabinete</v>
      </c>
      <c r="B29" s="219" t="str">
        <f>'Quadro Geral'!B30</f>
        <v>A</v>
      </c>
      <c r="C29" s="93" t="str">
        <f>'Quadro Geral'!D30</f>
        <v xml:space="preserve">Manter e Desenvolver as Atividades da Assessoria de Eventos </v>
      </c>
      <c r="D29" s="143">
        <f>'Quadro Geral'!L30</f>
        <v>394103.44</v>
      </c>
      <c r="E29" s="173"/>
      <c r="F29" s="229">
        <v>171579.5</v>
      </c>
      <c r="G29" s="229">
        <v>19332</v>
      </c>
      <c r="H29" s="229">
        <v>79966.91</v>
      </c>
      <c r="I29" s="229">
        <v>50961</v>
      </c>
      <c r="J29" s="229"/>
      <c r="K29" s="229">
        <v>72264.03</v>
      </c>
      <c r="L29" s="229"/>
      <c r="M29" s="229"/>
      <c r="N29" s="229"/>
      <c r="O29" s="145">
        <f t="shared" si="1"/>
        <v>394103.44000000006</v>
      </c>
      <c r="P29" s="144"/>
      <c r="Q29" s="145">
        <f t="shared" si="2"/>
        <v>394103.44000000006</v>
      </c>
      <c r="R29" s="148">
        <f t="shared" si="0"/>
        <v>2.0540434624821448E-2</v>
      </c>
    </row>
    <row r="30" spans="1:18" ht="33" customHeight="1" x14ac:dyDescent="0.35">
      <c r="A30" s="92" t="str">
        <f>'Quadro Geral'!A31</f>
        <v>Chefia de Gabinete</v>
      </c>
      <c r="B30" s="219" t="str">
        <f>'Quadro Geral'!B31</f>
        <v>PE</v>
      </c>
      <c r="C30" s="93" t="str">
        <f>'Quadro Geral'!D31</f>
        <v>Eventos Institucionais</v>
      </c>
      <c r="D30" s="143">
        <f>'Quadro Geral'!L31</f>
        <v>280000</v>
      </c>
      <c r="E30" s="173"/>
      <c r="F30" s="229"/>
      <c r="G30" s="229"/>
      <c r="H30" s="229"/>
      <c r="I30" s="229"/>
      <c r="J30" s="229"/>
      <c r="K30" s="229">
        <v>280000</v>
      </c>
      <c r="L30" s="229"/>
      <c r="M30" s="229"/>
      <c r="N30" s="229"/>
      <c r="O30" s="145">
        <f t="shared" si="1"/>
        <v>280000</v>
      </c>
      <c r="P30" s="144"/>
      <c r="Q30" s="145">
        <f t="shared" si="2"/>
        <v>280000</v>
      </c>
      <c r="R30" s="148">
        <f t="shared" si="0"/>
        <v>1.459343185370319E-2</v>
      </c>
    </row>
    <row r="31" spans="1:18" ht="33" customHeight="1" x14ac:dyDescent="0.35">
      <c r="A31" s="92" t="str">
        <f>'Quadro Geral'!A32</f>
        <v>Chefia de Gabinete</v>
      </c>
      <c r="B31" s="219" t="str">
        <f>'Quadro Geral'!B32</f>
        <v>A</v>
      </c>
      <c r="C31" s="93" t="str">
        <f>'Quadro Geral'!D32</f>
        <v>Manter e Desenvolver as Atividades da Assessoria de Comunicação</v>
      </c>
      <c r="D31" s="143">
        <f>'Quadro Geral'!L32</f>
        <v>662895.1635873334</v>
      </c>
      <c r="E31" s="173"/>
      <c r="F31" s="229">
        <v>168524.62358733336</v>
      </c>
      <c r="G31" s="229">
        <v>6002</v>
      </c>
      <c r="H31" s="229"/>
      <c r="I31" s="229"/>
      <c r="J31" s="229"/>
      <c r="K31" s="229">
        <v>488368.54</v>
      </c>
      <c r="L31" s="229"/>
      <c r="M31" s="229"/>
      <c r="N31" s="229"/>
      <c r="O31" s="145">
        <f t="shared" si="1"/>
        <v>662895.1635873334</v>
      </c>
      <c r="P31" s="144"/>
      <c r="Q31" s="145">
        <f t="shared" si="2"/>
        <v>662895.1635873334</v>
      </c>
      <c r="R31" s="148">
        <f t="shared" si="0"/>
        <v>3.4549697842718496E-2</v>
      </c>
    </row>
    <row r="32" spans="1:18" ht="33" customHeight="1" x14ac:dyDescent="0.35">
      <c r="A32" s="92" t="str">
        <f>'Quadro Geral'!A33</f>
        <v>Chefia de Gabinete</v>
      </c>
      <c r="B32" s="219" t="str">
        <f>'Quadro Geral'!B33</f>
        <v>A</v>
      </c>
      <c r="C32" s="93" t="str">
        <f>'Quadro Geral'!D33</f>
        <v>Manter e Desenvolver a Secretaria do Plenário e Órgãos Colegiados</v>
      </c>
      <c r="D32" s="143">
        <f>'Quadro Geral'!L33</f>
        <v>137324.53</v>
      </c>
      <c r="E32" s="173"/>
      <c r="F32" s="229">
        <v>136156.53</v>
      </c>
      <c r="G32" s="229">
        <v>668</v>
      </c>
      <c r="H32" s="229"/>
      <c r="I32" s="229"/>
      <c r="J32" s="229"/>
      <c r="K32" s="229">
        <v>500</v>
      </c>
      <c r="L32" s="229"/>
      <c r="M32" s="229"/>
      <c r="N32" s="229"/>
      <c r="O32" s="145">
        <f t="shared" si="1"/>
        <v>137324.53</v>
      </c>
      <c r="P32" s="144"/>
      <c r="Q32" s="145">
        <f t="shared" si="2"/>
        <v>137324.53</v>
      </c>
      <c r="R32" s="148">
        <f t="shared" si="0"/>
        <v>7.1572720371314976E-3</v>
      </c>
    </row>
    <row r="33" spans="1:18" ht="33" customHeight="1" x14ac:dyDescent="0.35">
      <c r="A33" s="92" t="str">
        <f>'Quadro Geral'!A34</f>
        <v>Chefia de Gabinete</v>
      </c>
      <c r="B33" s="219" t="str">
        <f>'Quadro Geral'!B34</f>
        <v>A</v>
      </c>
      <c r="C33" s="93" t="str">
        <f>'Quadro Geral'!D34</f>
        <v>Manter e Desenvolver as Atividades da Assessoria de Imprensa</v>
      </c>
      <c r="D33" s="143">
        <f>'Quadro Geral'!L34</f>
        <v>0</v>
      </c>
      <c r="E33" s="173"/>
      <c r="F33" s="229"/>
      <c r="G33" s="229"/>
      <c r="H33" s="229"/>
      <c r="I33" s="229"/>
      <c r="J33" s="229"/>
      <c r="K33" s="229"/>
      <c r="L33" s="229"/>
      <c r="M33" s="229"/>
      <c r="N33" s="229"/>
      <c r="O33" s="145">
        <f t="shared" si="1"/>
        <v>0</v>
      </c>
      <c r="P33" s="144"/>
      <c r="Q33" s="145">
        <f t="shared" si="2"/>
        <v>0</v>
      </c>
      <c r="R33" s="148">
        <f t="shared" si="0"/>
        <v>0</v>
      </c>
    </row>
    <row r="34" spans="1:18" ht="33" customHeight="1" x14ac:dyDescent="0.35">
      <c r="A34" s="92" t="str">
        <f>'Quadro Geral'!A35</f>
        <v>Chefia de Gabinete</v>
      </c>
      <c r="B34" s="219" t="str">
        <f>'Quadro Geral'!B35</f>
        <v>A</v>
      </c>
      <c r="C34" s="93" t="str">
        <f>'Quadro Geral'!D35</f>
        <v>Manter e Desenvolver as atividades da Assessoria Técnica</v>
      </c>
      <c r="D34" s="143">
        <f>'Quadro Geral'!L35</f>
        <v>114594.83</v>
      </c>
      <c r="E34" s="173"/>
      <c r="F34" s="229">
        <v>113426.83</v>
      </c>
      <c r="G34" s="229">
        <v>668</v>
      </c>
      <c r="H34" s="229"/>
      <c r="I34" s="229"/>
      <c r="J34" s="229"/>
      <c r="K34" s="229">
        <v>500</v>
      </c>
      <c r="L34" s="229"/>
      <c r="M34" s="229"/>
      <c r="N34" s="229"/>
      <c r="O34" s="145">
        <f t="shared" si="1"/>
        <v>114594.83</v>
      </c>
      <c r="P34" s="144"/>
      <c r="Q34" s="145">
        <f t="shared" si="2"/>
        <v>114594.83</v>
      </c>
      <c r="R34" s="148">
        <f t="shared" si="0"/>
        <v>5.9726137228275069E-3</v>
      </c>
    </row>
    <row r="35" spans="1:18" ht="33" customHeight="1" x14ac:dyDescent="0.35">
      <c r="A35" s="92" t="str">
        <f>'Quadro Geral'!A36</f>
        <v>Presidência</v>
      </c>
      <c r="B35" s="219" t="str">
        <f>'Quadro Geral'!B36</f>
        <v>A</v>
      </c>
      <c r="C35" s="93" t="str">
        <f>'Quadro Geral'!D36</f>
        <v>Manter e Desenvolver as Atividades da Gerência Geral</v>
      </c>
      <c r="D35" s="143">
        <f>'Quadro Geral'!L36</f>
        <v>554303.86</v>
      </c>
      <c r="E35" s="173"/>
      <c r="F35" s="229">
        <v>511836.33999999997</v>
      </c>
      <c r="G35" s="229">
        <v>8733.76</v>
      </c>
      <c r="H35" s="229"/>
      <c r="I35" s="229"/>
      <c r="J35" s="229">
        <v>8733.76</v>
      </c>
      <c r="K35" s="229">
        <v>25000</v>
      </c>
      <c r="L35" s="229"/>
      <c r="M35" s="229"/>
      <c r="N35" s="229"/>
      <c r="O35" s="145">
        <f t="shared" si="1"/>
        <v>554303.86</v>
      </c>
      <c r="P35" s="144"/>
      <c r="Q35" s="145">
        <f t="shared" si="2"/>
        <v>554303.86</v>
      </c>
      <c r="R35" s="148">
        <f t="shared" si="0"/>
        <v>2.8889984311266548E-2</v>
      </c>
    </row>
    <row r="36" spans="1:18" ht="33" customHeight="1" x14ac:dyDescent="0.35">
      <c r="A36" s="92" t="str">
        <f>'Quadro Geral'!A37</f>
        <v>Gerência Geral</v>
      </c>
      <c r="B36" s="219" t="str">
        <f>'Quadro Geral'!B37</f>
        <v>PE</v>
      </c>
      <c r="C36" s="93" t="str">
        <f>'Quadro Geral'!D37</f>
        <v>Concurso Público 2024</v>
      </c>
      <c r="D36" s="143">
        <f>'Quadro Geral'!L37</f>
        <v>200000</v>
      </c>
      <c r="E36" s="173"/>
      <c r="F36" s="229"/>
      <c r="G36" s="229"/>
      <c r="H36" s="229"/>
      <c r="I36" s="229"/>
      <c r="J36" s="229"/>
      <c r="K36" s="229">
        <v>200000</v>
      </c>
      <c r="L36" s="229"/>
      <c r="M36" s="229"/>
      <c r="N36" s="229"/>
      <c r="O36" s="145">
        <f t="shared" si="1"/>
        <v>200000</v>
      </c>
      <c r="P36" s="144"/>
      <c r="Q36" s="145">
        <f t="shared" si="2"/>
        <v>200000</v>
      </c>
      <c r="R36" s="148">
        <f t="shared" si="0"/>
        <v>1.0423879895502279E-2</v>
      </c>
    </row>
    <row r="37" spans="1:18" ht="33" customHeight="1" x14ac:dyDescent="0.35">
      <c r="A37" s="92" t="str">
        <f>'Quadro Geral'!A38</f>
        <v>Gerência Geral</v>
      </c>
      <c r="B37" s="219" t="str">
        <f>'Quadro Geral'!B38</f>
        <v>PE</v>
      </c>
      <c r="C37" s="93" t="str">
        <f>'Quadro Geral'!D38</f>
        <v>Mudança e Adequações da Nova Sede e Escritórios Descentralizados do CAU/MG</v>
      </c>
      <c r="D37" s="143">
        <f>'Quadro Geral'!L38</f>
        <v>1170000</v>
      </c>
      <c r="E37" s="173"/>
      <c r="F37" s="229"/>
      <c r="G37" s="229"/>
      <c r="H37" s="229"/>
      <c r="I37" s="229"/>
      <c r="J37" s="229"/>
      <c r="K37" s="229">
        <v>500000</v>
      </c>
      <c r="L37" s="229"/>
      <c r="M37" s="229"/>
      <c r="N37" s="229"/>
      <c r="O37" s="145">
        <f t="shared" si="1"/>
        <v>500000</v>
      </c>
      <c r="P37" s="144">
        <v>670000</v>
      </c>
      <c r="Q37" s="145">
        <f t="shared" si="2"/>
        <v>1170000</v>
      </c>
      <c r="R37" s="148">
        <f t="shared" si="0"/>
        <v>6.0979697388688331E-2</v>
      </c>
    </row>
    <row r="38" spans="1:18" ht="33" customHeight="1" x14ac:dyDescent="0.35">
      <c r="A38" s="92" t="str">
        <f>'Quadro Geral'!A39</f>
        <v xml:space="preserve">Gerência Geral </v>
      </c>
      <c r="B38" s="219" t="str">
        <f>'Quadro Geral'!B39</f>
        <v>A</v>
      </c>
      <c r="C38" s="93" t="str">
        <f>'Quadro Geral'!D39</f>
        <v>Manter e Desenvolver as Atividades da Gerência de Fiscalização</v>
      </c>
      <c r="D38" s="143">
        <f>'Quadro Geral'!L39</f>
        <v>2102594.58</v>
      </c>
      <c r="E38" s="173"/>
      <c r="F38" s="229">
        <v>2009176.09</v>
      </c>
      <c r="G38" s="229">
        <v>14402.334999999999</v>
      </c>
      <c r="H38" s="229">
        <v>1000</v>
      </c>
      <c r="I38" s="229"/>
      <c r="J38" s="229">
        <v>14402.334999999999</v>
      </c>
      <c r="K38" s="229">
        <v>63613.82</v>
      </c>
      <c r="L38" s="229"/>
      <c r="M38" s="229"/>
      <c r="N38" s="229"/>
      <c r="O38" s="145">
        <f t="shared" si="1"/>
        <v>2102594.58</v>
      </c>
      <c r="P38" s="144"/>
      <c r="Q38" s="145">
        <f t="shared" si="2"/>
        <v>2102594.58</v>
      </c>
      <c r="R38" s="148">
        <f t="shared" si="0"/>
        <v>0.1095859668542703</v>
      </c>
    </row>
    <row r="39" spans="1:18" ht="33" customHeight="1" x14ac:dyDescent="0.35">
      <c r="A39" s="92" t="str">
        <f>'Quadro Geral'!A40</f>
        <v xml:space="preserve">Gerência de Fiscalização </v>
      </c>
      <c r="B39" s="219" t="str">
        <f>'Quadro Geral'!B40</f>
        <v>A</v>
      </c>
      <c r="C39" s="93" t="str">
        <f>'Quadro Geral'!D40</f>
        <v>CSC FISCALIZAÇÃO</v>
      </c>
      <c r="D39" s="143">
        <f>'Quadro Geral'!L40</f>
        <v>1071282.72</v>
      </c>
      <c r="E39" s="173"/>
      <c r="F39" s="229"/>
      <c r="G39" s="229"/>
      <c r="H39" s="229"/>
      <c r="I39" s="229"/>
      <c r="J39" s="229"/>
      <c r="K39" s="229"/>
      <c r="L39" s="229">
        <v>1071282.72</v>
      </c>
      <c r="M39" s="229"/>
      <c r="N39" s="229"/>
      <c r="O39" s="145">
        <f t="shared" si="1"/>
        <v>1071282.72</v>
      </c>
      <c r="P39" s="144"/>
      <c r="Q39" s="145">
        <f t="shared" si="2"/>
        <v>1071282.72</v>
      </c>
      <c r="R39" s="148">
        <f t="shared" si="0"/>
        <v>5.5834612037034985E-2</v>
      </c>
    </row>
    <row r="40" spans="1:18" ht="33" customHeight="1" x14ac:dyDescent="0.35">
      <c r="A40" s="92" t="str">
        <f>'Quadro Geral'!A41</f>
        <v xml:space="preserve">Gerência de Fiscalização </v>
      </c>
      <c r="B40" s="219" t="str">
        <f>'Quadro Geral'!B41</f>
        <v>P</v>
      </c>
      <c r="C40" s="93" t="str">
        <f>'Quadro Geral'!D41</f>
        <v>Fiscalização Itinerante / Rotas</v>
      </c>
      <c r="D40" s="143">
        <f>'Quadro Geral'!L41</f>
        <v>276139.71000000002</v>
      </c>
      <c r="E40" s="173"/>
      <c r="F40" s="229"/>
      <c r="G40" s="229">
        <v>7500</v>
      </c>
      <c r="H40" s="229">
        <v>46087.240000000005</v>
      </c>
      <c r="I40" s="229">
        <v>25423.61</v>
      </c>
      <c r="J40" s="229">
        <v>7500</v>
      </c>
      <c r="K40" s="229">
        <v>189628.86000000002</v>
      </c>
      <c r="L40" s="229"/>
      <c r="M40" s="229"/>
      <c r="N40" s="229"/>
      <c r="O40" s="145">
        <f t="shared" si="1"/>
        <v>276139.71000000002</v>
      </c>
      <c r="P40" s="144"/>
      <c r="Q40" s="145">
        <f t="shared" si="2"/>
        <v>276139.71000000002</v>
      </c>
      <c r="R40" s="148">
        <f t="shared" si="0"/>
        <v>1.4392235857094149E-2</v>
      </c>
    </row>
    <row r="41" spans="1:18" ht="33" customHeight="1" x14ac:dyDescent="0.35">
      <c r="A41" s="92" t="str">
        <f>'Quadro Geral'!A42</f>
        <v>Gerência Geral</v>
      </c>
      <c r="B41" s="219" t="str">
        <f>'Quadro Geral'!B42</f>
        <v>A</v>
      </c>
      <c r="C41" s="93" t="str">
        <f>'Quadro Geral'!D42</f>
        <v xml:space="preserve">Manter e Desenvolver as Atividades da Gerência Técnica </v>
      </c>
      <c r="D41" s="143">
        <f>'Quadro Geral'!L42</f>
        <v>2037037.58</v>
      </c>
      <c r="E41" s="173"/>
      <c r="F41" s="229">
        <v>1954629.31</v>
      </c>
      <c r="G41" s="229">
        <v>10483.875</v>
      </c>
      <c r="H41" s="229"/>
      <c r="I41" s="229"/>
      <c r="J41" s="229">
        <v>10483.875</v>
      </c>
      <c r="K41" s="229">
        <v>61440.520000000004</v>
      </c>
      <c r="L41" s="229"/>
      <c r="M41" s="229"/>
      <c r="N41" s="229"/>
      <c r="O41" s="145">
        <f t="shared" si="1"/>
        <v>2037037.58</v>
      </c>
      <c r="P41" s="144"/>
      <c r="Q41" s="145">
        <f t="shared" si="2"/>
        <v>2037037.58</v>
      </c>
      <c r="R41" s="148">
        <f t="shared" si="0"/>
        <v>0.10616917538272308</v>
      </c>
    </row>
    <row r="42" spans="1:18" ht="33" customHeight="1" x14ac:dyDescent="0.35">
      <c r="A42" s="92" t="str">
        <f>'Quadro Geral'!A43</f>
        <v>Gerência Técnica</v>
      </c>
      <c r="B42" s="219" t="str">
        <f>'Quadro Geral'!B43</f>
        <v>A</v>
      </c>
      <c r="C42" s="93" t="str">
        <f>'Quadro Geral'!D43</f>
        <v>CSC ATENDIMENTO</v>
      </c>
      <c r="D42" s="143">
        <f>'Quadro Geral'!L43</f>
        <v>139896.03</v>
      </c>
      <c r="E42" s="173"/>
      <c r="F42" s="229"/>
      <c r="G42" s="229"/>
      <c r="H42" s="229"/>
      <c r="I42" s="229"/>
      <c r="J42" s="229"/>
      <c r="K42" s="229"/>
      <c r="L42" s="229">
        <v>139896.03</v>
      </c>
      <c r="M42" s="229"/>
      <c r="N42" s="229"/>
      <c r="O42" s="145">
        <f t="shared" si="1"/>
        <v>139896.03</v>
      </c>
      <c r="P42" s="144"/>
      <c r="Q42" s="145">
        <f t="shared" si="2"/>
        <v>139896.03</v>
      </c>
      <c r="R42" s="148">
        <f t="shared" si="0"/>
        <v>7.2912970728879183E-3</v>
      </c>
    </row>
    <row r="43" spans="1:18" ht="33" customHeight="1" x14ac:dyDescent="0.35">
      <c r="A43" s="92" t="str">
        <f>'Quadro Geral'!A44</f>
        <v>Gerência Geral</v>
      </c>
      <c r="B43" s="219" t="str">
        <f>'Quadro Geral'!B44</f>
        <v>A</v>
      </c>
      <c r="C43" s="93" t="str">
        <f>'Quadro Geral'!D44</f>
        <v>Manter e Desenvolver as Atividades da Ger. Esp. de Planejamento e Gestão Estratégica</v>
      </c>
      <c r="D43" s="143">
        <f>'Quadro Geral'!L44</f>
        <v>402305.62</v>
      </c>
      <c r="E43" s="173"/>
      <c r="F43" s="229">
        <v>376575.74</v>
      </c>
      <c r="G43" s="229">
        <v>4003</v>
      </c>
      <c r="H43" s="229"/>
      <c r="I43" s="229"/>
      <c r="J43" s="229">
        <v>4003</v>
      </c>
      <c r="K43" s="229">
        <v>17723.88</v>
      </c>
      <c r="L43" s="229"/>
      <c r="M43" s="229"/>
      <c r="N43" s="229"/>
      <c r="O43" s="145">
        <f t="shared" si="1"/>
        <v>402305.62</v>
      </c>
      <c r="P43" s="144"/>
      <c r="Q43" s="145">
        <f t="shared" si="2"/>
        <v>402305.62</v>
      </c>
      <c r="R43" s="148">
        <f t="shared" si="0"/>
        <v>2.0967927320827896E-2</v>
      </c>
    </row>
    <row r="44" spans="1:18" ht="33" customHeight="1" x14ac:dyDescent="0.35">
      <c r="A44" s="92" t="str">
        <f>'Quadro Geral'!A45</f>
        <v>Gerência Geral</v>
      </c>
      <c r="B44" s="219" t="str">
        <f>'Quadro Geral'!B45</f>
        <v>A</v>
      </c>
      <c r="C44" s="93" t="str">
        <f>'Quadro Geral'!D45</f>
        <v>Manter e Desenvolver as Atividades da Gerência Jurídica</v>
      </c>
      <c r="D44" s="143">
        <f>'Quadro Geral'!L45</f>
        <v>925129.28000000014</v>
      </c>
      <c r="E44" s="173"/>
      <c r="F44" s="229">
        <v>849317.3600000001</v>
      </c>
      <c r="G44" s="229">
        <v>5838</v>
      </c>
      <c r="H44" s="229"/>
      <c r="I44" s="229"/>
      <c r="J44" s="229">
        <v>5838</v>
      </c>
      <c r="K44" s="229">
        <v>34135.919999999998</v>
      </c>
      <c r="L44" s="229"/>
      <c r="M44" s="229"/>
      <c r="N44" s="229">
        <v>30000.000000000004</v>
      </c>
      <c r="O44" s="145">
        <f t="shared" si="1"/>
        <v>925129.28000000014</v>
      </c>
      <c r="P44" s="144"/>
      <c r="Q44" s="145">
        <f t="shared" si="2"/>
        <v>925129.28000000014</v>
      </c>
      <c r="R44" s="148">
        <f t="shared" si="0"/>
        <v>4.82171825126625E-2</v>
      </c>
    </row>
    <row r="45" spans="1:18" ht="33" customHeight="1" x14ac:dyDescent="0.35">
      <c r="A45" s="92" t="str">
        <f>'Quadro Geral'!A46</f>
        <v>Gerência Geral</v>
      </c>
      <c r="B45" s="219" t="str">
        <f>'Quadro Geral'!B46</f>
        <v>A</v>
      </c>
      <c r="C45" s="93" t="str">
        <f>'Quadro Geral'!D46</f>
        <v>Manter e Desenvolver as Atividades da Gerência Administrativa e Financeira</v>
      </c>
      <c r="D45" s="143">
        <f>'Quadro Geral'!L46</f>
        <v>930373.78999999992</v>
      </c>
      <c r="E45" s="173"/>
      <c r="F45" s="229">
        <v>559120.24</v>
      </c>
      <c r="G45" s="229"/>
      <c r="H45" s="229">
        <v>4187.9799999999996</v>
      </c>
      <c r="I45" s="229"/>
      <c r="J45" s="229"/>
      <c r="K45" s="229">
        <v>259726.51</v>
      </c>
      <c r="L45" s="229"/>
      <c r="M45" s="229"/>
      <c r="N45" s="229">
        <v>107339.06</v>
      </c>
      <c r="O45" s="145">
        <f t="shared" si="1"/>
        <v>930373.79</v>
      </c>
      <c r="P45" s="144"/>
      <c r="Q45" s="145">
        <f t="shared" si="2"/>
        <v>930373.79</v>
      </c>
      <c r="R45" s="148">
        <f t="shared" si="0"/>
        <v>4.8490523224416299E-2</v>
      </c>
    </row>
    <row r="46" spans="1:18" ht="33" customHeight="1" x14ac:dyDescent="0.35">
      <c r="A46" s="92" t="str">
        <f>'Quadro Geral'!A47</f>
        <v>Gerência Geral</v>
      </c>
      <c r="B46" s="219" t="str">
        <f>'Quadro Geral'!B47</f>
        <v>A</v>
      </c>
      <c r="C46" s="93" t="str">
        <f>'Quadro Geral'!D47</f>
        <v>Manter e Desenvolver as Atividades da Gerência Administrativa</v>
      </c>
      <c r="D46" s="143">
        <f>'Quadro Geral'!L47</f>
        <v>1042933.31</v>
      </c>
      <c r="E46" s="173"/>
      <c r="F46" s="229">
        <v>437469.97</v>
      </c>
      <c r="G46" s="229">
        <v>5170</v>
      </c>
      <c r="H46" s="229">
        <v>40000</v>
      </c>
      <c r="I46" s="229"/>
      <c r="J46" s="229">
        <v>5170</v>
      </c>
      <c r="K46" s="229">
        <v>555123.34000000008</v>
      </c>
      <c r="L46" s="229"/>
      <c r="M46" s="229"/>
      <c r="N46" s="229"/>
      <c r="O46" s="145">
        <f t="shared" si="1"/>
        <v>1042933.31</v>
      </c>
      <c r="P46" s="144"/>
      <c r="Q46" s="145">
        <f>O46+P46</f>
        <v>1042933.31</v>
      </c>
      <c r="R46" s="148">
        <f t="shared" si="0"/>
        <v>5.4357057812293233E-2</v>
      </c>
    </row>
    <row r="47" spans="1:18" ht="33" customHeight="1" x14ac:dyDescent="0.35">
      <c r="A47" s="92" t="str">
        <f>'Quadro Geral'!A48</f>
        <v>Gerência Geral</v>
      </c>
      <c r="B47" s="219" t="str">
        <f>'Quadro Geral'!B48</f>
        <v>A</v>
      </c>
      <c r="C47" s="93" t="str">
        <f>'Quadro Geral'!D48</f>
        <v>Manter e Desenvolver as Atividades da Gerência Financeira</v>
      </c>
      <c r="D47" s="143">
        <f>'Quadro Geral'!L48</f>
        <v>1380561.77</v>
      </c>
      <c r="E47" s="173"/>
      <c r="F47" s="229">
        <v>1114141.77</v>
      </c>
      <c r="G47" s="229">
        <v>7510</v>
      </c>
      <c r="H47" s="229"/>
      <c r="I47" s="229"/>
      <c r="J47" s="229">
        <v>7510</v>
      </c>
      <c r="K47" s="229">
        <v>10400</v>
      </c>
      <c r="L47" s="229"/>
      <c r="M47" s="229"/>
      <c r="N47" s="229">
        <v>241000</v>
      </c>
      <c r="O47" s="145">
        <f t="shared" si="1"/>
        <v>1380561.77</v>
      </c>
      <c r="P47" s="144"/>
      <c r="Q47" s="145">
        <f>O47+P47</f>
        <v>1380561.77</v>
      </c>
      <c r="R47" s="148">
        <f t="shared" si="0"/>
        <v>7.1954050394010205E-2</v>
      </c>
    </row>
    <row r="48" spans="1:18" ht="33" customHeight="1" x14ac:dyDescent="0.35">
      <c r="A48" s="92" t="str">
        <f>'Quadro Geral'!A49</f>
        <v>Gerência Financeira</v>
      </c>
      <c r="B48" s="219" t="str">
        <f>'Quadro Geral'!B49</f>
        <v>A</v>
      </c>
      <c r="C48" s="93" t="str">
        <f>'Quadro Geral'!D49</f>
        <v>Fundo de Apoio aos CAU/UF</v>
      </c>
      <c r="D48" s="143">
        <f>'Quadro Geral'!L49</f>
        <v>256850.45</v>
      </c>
      <c r="E48" s="173"/>
      <c r="F48" s="229"/>
      <c r="G48" s="229"/>
      <c r="H48" s="229"/>
      <c r="I48" s="229"/>
      <c r="J48" s="229"/>
      <c r="K48" s="229"/>
      <c r="L48" s="229">
        <v>256850.45</v>
      </c>
      <c r="M48" s="229"/>
      <c r="N48" s="229"/>
      <c r="O48" s="145">
        <f t="shared" si="1"/>
        <v>256850.45</v>
      </c>
      <c r="P48" s="144"/>
      <c r="Q48" s="145">
        <f t="shared" ref="Q48:Q55" si="3">O48+P48</f>
        <v>256850.45</v>
      </c>
      <c r="R48" s="148">
        <f t="shared" si="0"/>
        <v>1.3386891209528568E-2</v>
      </c>
    </row>
    <row r="49" spans="1:18" ht="33" customHeight="1" x14ac:dyDescent="0.35">
      <c r="A49" s="92" t="str">
        <f>'Quadro Geral'!A50</f>
        <v>Gerência Financeira</v>
      </c>
      <c r="B49" s="219" t="str">
        <f>'Quadro Geral'!B50</f>
        <v>A</v>
      </c>
      <c r="C49" s="93" t="str">
        <f>'Quadro Geral'!D50</f>
        <v>Reserva de Contingência</v>
      </c>
      <c r="D49" s="143">
        <f>'Quadro Geral'!L50</f>
        <v>60000</v>
      </c>
      <c r="E49" s="173"/>
      <c r="F49" s="229"/>
      <c r="G49" s="229"/>
      <c r="H49" s="229"/>
      <c r="I49" s="229"/>
      <c r="J49" s="229"/>
      <c r="K49" s="229"/>
      <c r="L49" s="229"/>
      <c r="M49" s="229">
        <v>60000</v>
      </c>
      <c r="N49" s="229"/>
      <c r="O49" s="145">
        <f t="shared" si="1"/>
        <v>60000</v>
      </c>
      <c r="P49" s="144"/>
      <c r="Q49" s="145">
        <f t="shared" si="3"/>
        <v>60000</v>
      </c>
      <c r="R49" s="148">
        <f t="shared" si="0"/>
        <v>3.1271639686506836E-3</v>
      </c>
    </row>
    <row r="50" spans="1:18" ht="33" customHeight="1" x14ac:dyDescent="0.35">
      <c r="A50" s="92" t="str">
        <f>'Quadro Geral'!A51</f>
        <v>Gerência Geral</v>
      </c>
      <c r="B50" s="219" t="str">
        <f>'Quadro Geral'!B51</f>
        <v>A</v>
      </c>
      <c r="C50" s="93" t="str">
        <f>'Quadro Geral'!D51</f>
        <v>Manter e Desenvolver as Atividades do Escritório Descentralizado Norte de Minas</v>
      </c>
      <c r="D50" s="143">
        <f>'Quadro Geral'!L51</f>
        <v>168612.72999999998</v>
      </c>
      <c r="E50" s="173"/>
      <c r="F50" s="229">
        <v>90445</v>
      </c>
      <c r="G50" s="229">
        <v>1002</v>
      </c>
      <c r="H50" s="229">
        <v>2000</v>
      </c>
      <c r="I50" s="229"/>
      <c r="J50" s="229"/>
      <c r="K50" s="229">
        <v>75165.73</v>
      </c>
      <c r="L50" s="229"/>
      <c r="M50" s="229"/>
      <c r="N50" s="229"/>
      <c r="O50" s="145">
        <f t="shared" si="1"/>
        <v>168612.72999999998</v>
      </c>
      <c r="P50" s="144"/>
      <c r="Q50" s="145">
        <f t="shared" si="3"/>
        <v>168612.72999999998</v>
      </c>
      <c r="R50" s="148">
        <f t="shared" si="0"/>
        <v>8.7879942318637699E-3</v>
      </c>
    </row>
    <row r="51" spans="1:18" ht="33" customHeight="1" x14ac:dyDescent="0.35">
      <c r="A51" s="92" t="str">
        <f>'Quadro Geral'!A52</f>
        <v>Gerência Geral</v>
      </c>
      <c r="B51" s="219" t="str">
        <f>'Quadro Geral'!B52</f>
        <v>A</v>
      </c>
      <c r="C51" s="93" t="str">
        <f>'Quadro Geral'!D52</f>
        <v>Manter e Desenvolver as Atividades do Esc. Descentralizado Triâng. Min. e Alto Paranaíba</v>
      </c>
      <c r="D51" s="143">
        <f>'Quadro Geral'!L52</f>
        <v>186443.23</v>
      </c>
      <c r="E51" s="173"/>
      <c r="F51" s="229">
        <v>99656.53</v>
      </c>
      <c r="G51" s="229">
        <v>1002</v>
      </c>
      <c r="H51" s="229">
        <v>2000</v>
      </c>
      <c r="I51" s="229"/>
      <c r="J51" s="229"/>
      <c r="K51" s="229">
        <v>83784.7</v>
      </c>
      <c r="L51" s="229"/>
      <c r="M51" s="229"/>
      <c r="N51" s="229"/>
      <c r="O51" s="145">
        <f t="shared" si="1"/>
        <v>186443.22999999998</v>
      </c>
      <c r="P51" s="144"/>
      <c r="Q51" s="145">
        <f t="shared" si="3"/>
        <v>186443.22999999998</v>
      </c>
      <c r="R51" s="148">
        <f t="shared" si="0"/>
        <v>9.717309184247536E-3</v>
      </c>
    </row>
    <row r="52" spans="1:18" ht="33" customHeight="1" x14ac:dyDescent="0.35">
      <c r="A52" s="92" t="str">
        <f>'Quadro Geral'!A53</f>
        <v>Gerência Geral</v>
      </c>
      <c r="B52" s="219" t="str">
        <f>'Quadro Geral'!B53</f>
        <v>A</v>
      </c>
      <c r="C52" s="93" t="str">
        <f>'Quadro Geral'!D53</f>
        <v>Manter e Desenvolver as Atividades Escritório Descentralizado Zona da Mata e Vertentes</v>
      </c>
      <c r="D52" s="143">
        <f>'Quadro Geral'!L53</f>
        <v>114945.56999999999</v>
      </c>
      <c r="E52" s="173"/>
      <c r="F52" s="229">
        <v>65715.98</v>
      </c>
      <c r="G52" s="229">
        <v>1002</v>
      </c>
      <c r="H52" s="229">
        <v>2000</v>
      </c>
      <c r="I52" s="229"/>
      <c r="J52" s="229"/>
      <c r="K52" s="229">
        <v>46227.59</v>
      </c>
      <c r="L52" s="229"/>
      <c r="M52" s="229"/>
      <c r="N52" s="229"/>
      <c r="O52" s="145">
        <f t="shared" si="1"/>
        <v>114945.56999999999</v>
      </c>
      <c r="P52" s="144"/>
      <c r="Q52" s="145">
        <f t="shared" si="3"/>
        <v>114945.56999999999</v>
      </c>
      <c r="R52" s="148">
        <f t="shared" si="0"/>
        <v>5.9908940810002491E-3</v>
      </c>
    </row>
    <row r="53" spans="1:18" ht="33" customHeight="1" x14ac:dyDescent="0.35">
      <c r="A53" s="92" t="str">
        <f>'Quadro Geral'!A54</f>
        <v>Gerência Geral</v>
      </c>
      <c r="B53" s="219" t="str">
        <f>'Quadro Geral'!B54</f>
        <v>A</v>
      </c>
      <c r="C53" s="93" t="str">
        <f>'Quadro Geral'!D54</f>
        <v>Manter e Desenvolver as Atividades do Escritório Descentralizado Sul de Minas</v>
      </c>
      <c r="D53" s="143">
        <f>'Quadro Geral'!L54</f>
        <v>192798.46</v>
      </c>
      <c r="E53" s="173"/>
      <c r="F53" s="229">
        <v>128420.08</v>
      </c>
      <c r="G53" s="229">
        <v>1002</v>
      </c>
      <c r="H53" s="229">
        <v>2000</v>
      </c>
      <c r="I53" s="229"/>
      <c r="J53" s="229"/>
      <c r="K53" s="229">
        <v>61376.380000000005</v>
      </c>
      <c r="L53" s="229"/>
      <c r="M53" s="229"/>
      <c r="N53" s="229"/>
      <c r="O53" s="145">
        <f t="shared" si="1"/>
        <v>192798.46000000002</v>
      </c>
      <c r="P53" s="144"/>
      <c r="Q53" s="145">
        <f t="shared" si="3"/>
        <v>192798.46000000002</v>
      </c>
      <c r="R53" s="148">
        <f t="shared" si="0"/>
        <v>1.0048539955389003E-2</v>
      </c>
    </row>
    <row r="54" spans="1:18" ht="33" customHeight="1" x14ac:dyDescent="0.35">
      <c r="A54" s="92" t="str">
        <f>'Quadro Geral'!A55</f>
        <v>Gerência Geral</v>
      </c>
      <c r="B54" s="219" t="str">
        <f>'Quadro Geral'!B55</f>
        <v>A</v>
      </c>
      <c r="C54" s="93" t="str">
        <f>'Quadro Geral'!D55</f>
        <v>Manter e Desenvolver as Atividades do Escritório Descentralizado Leste de Minas</v>
      </c>
      <c r="D54" s="143">
        <f>'Quadro Geral'!L55</f>
        <v>175259.83</v>
      </c>
      <c r="E54" s="173"/>
      <c r="F54" s="229">
        <v>99235.97</v>
      </c>
      <c r="G54" s="229">
        <v>1002</v>
      </c>
      <c r="H54" s="229">
        <v>2000</v>
      </c>
      <c r="I54" s="229"/>
      <c r="J54" s="229"/>
      <c r="K54" s="229">
        <v>73021.849999999991</v>
      </c>
      <c r="L54" s="229"/>
      <c r="M54" s="229"/>
      <c r="N54" s="229"/>
      <c r="O54" s="145">
        <f t="shared" si="1"/>
        <v>175259.82</v>
      </c>
      <c r="P54" s="144"/>
      <c r="Q54" s="145">
        <f t="shared" si="3"/>
        <v>175259.82</v>
      </c>
      <c r="R54" s="148">
        <f t="shared" si="0"/>
        <v>9.1344365709367416E-3</v>
      </c>
    </row>
    <row r="55" spans="1:18" ht="33" customHeight="1" x14ac:dyDescent="0.35">
      <c r="A55" s="92" t="str">
        <f>'Quadro Geral'!A56</f>
        <v>Gerência Geral</v>
      </c>
      <c r="B55" s="219" t="str">
        <f>'Quadro Geral'!B56</f>
        <v>A</v>
      </c>
      <c r="C55" s="93" t="str">
        <f>'Quadro Geral'!D56</f>
        <v>Manter e Desenvolver as Atividades dos Escritórios Novos</v>
      </c>
      <c r="D55" s="143">
        <f>'Quadro Geral'!L56</f>
        <v>32000</v>
      </c>
      <c r="E55" s="173"/>
      <c r="F55" s="229"/>
      <c r="G55" s="229"/>
      <c r="H55" s="229">
        <v>2000</v>
      </c>
      <c r="I55" s="229"/>
      <c r="J55" s="229"/>
      <c r="K55" s="229">
        <v>30000</v>
      </c>
      <c r="L55" s="229"/>
      <c r="M55" s="229"/>
      <c r="N55" s="229"/>
      <c r="O55" s="145">
        <f t="shared" si="1"/>
        <v>32000</v>
      </c>
      <c r="P55" s="144"/>
      <c r="Q55" s="145">
        <f t="shared" si="3"/>
        <v>32000</v>
      </c>
      <c r="R55" s="148">
        <f t="shared" si="0"/>
        <v>1.6678207832803646E-3</v>
      </c>
    </row>
    <row r="56" spans="1:18" s="91" customFormat="1" x14ac:dyDescent="0.35">
      <c r="A56" s="309" t="s">
        <v>297</v>
      </c>
      <c r="B56" s="309"/>
      <c r="C56" s="309"/>
      <c r="D56" s="146">
        <f>SUM(D6:D55)</f>
        <v>19186713.783587333</v>
      </c>
      <c r="E56" s="173"/>
      <c r="F56" s="146">
        <f>SUM(F6:F55)</f>
        <v>9820049.4035873339</v>
      </c>
      <c r="G56" s="146">
        <f t="shared" ref="G56:J56" si="4">SUM(G6:G47)</f>
        <v>195731.12</v>
      </c>
      <c r="H56" s="146">
        <f t="shared" si="4"/>
        <v>171242.13</v>
      </c>
      <c r="I56" s="146">
        <f t="shared" si="4"/>
        <v>943881.49166666658</v>
      </c>
      <c r="J56" s="146">
        <f t="shared" si="4"/>
        <v>1018576.1516666667</v>
      </c>
      <c r="K56" s="146">
        <f t="shared" ref="K56:Q56" si="5">SUM(K6:K55)</f>
        <v>3443855.2199999997</v>
      </c>
      <c r="L56" s="146">
        <f t="shared" si="5"/>
        <v>2468029.2000000002</v>
      </c>
      <c r="M56" s="146">
        <f t="shared" si="5"/>
        <v>60000</v>
      </c>
      <c r="N56" s="146">
        <f t="shared" si="5"/>
        <v>378339.06</v>
      </c>
      <c r="O56" s="146">
        <f t="shared" si="5"/>
        <v>18516713.776920673</v>
      </c>
      <c r="P56" s="146">
        <f t="shared" si="5"/>
        <v>670000</v>
      </c>
      <c r="Q56" s="146">
        <f t="shared" si="5"/>
        <v>19186713.776920673</v>
      </c>
      <c r="R56" s="364">
        <f>SUM(R6:R47)</f>
        <v>0.93813895001510272</v>
      </c>
    </row>
    <row r="57" spans="1:18" s="91" customFormat="1" x14ac:dyDescent="0.35">
      <c r="A57" s="309" t="s">
        <v>292</v>
      </c>
      <c r="B57" s="309"/>
      <c r="C57" s="309"/>
      <c r="D57" s="309"/>
      <c r="E57" s="172"/>
      <c r="F57" s="147">
        <f>IFERROR(F56/$Q56,0)</f>
        <v>0.51181507775446577</v>
      </c>
      <c r="G57" s="147">
        <f t="shared" ref="G57:P57" si="6">IFERROR(G56/$Q56,0)</f>
        <v>1.0201388433460721E-2</v>
      </c>
      <c r="H57" s="147">
        <f t="shared" si="6"/>
        <v>8.9250369808499385E-3</v>
      </c>
      <c r="I57" s="147">
        <f t="shared" si="6"/>
        <v>4.9194536523604337E-2</v>
      </c>
      <c r="J57" s="147">
        <f t="shared" si="6"/>
        <v>5.3087577346981239E-2</v>
      </c>
      <c r="K57" s="147">
        <f t="shared" si="6"/>
        <v>0.17949166595389288</v>
      </c>
      <c r="L57" s="147">
        <f t="shared" si="6"/>
        <v>0.12863219979696289</v>
      </c>
      <c r="M57" s="147">
        <f t="shared" si="6"/>
        <v>3.1271639686506836E-3</v>
      </c>
      <c r="N57" s="147">
        <f t="shared" si="6"/>
        <v>1.9718804606086153E-2</v>
      </c>
      <c r="O57" s="147">
        <f t="shared" si="6"/>
        <v>0.96508000235006741</v>
      </c>
      <c r="P57" s="147">
        <f t="shared" si="6"/>
        <v>3.4919997649932637E-2</v>
      </c>
      <c r="Q57" s="147">
        <f>O57+P57</f>
        <v>1</v>
      </c>
      <c r="R57" s="364"/>
    </row>
    <row r="58" spans="1:18" s="90" customFormat="1" ht="25" x14ac:dyDescent="0.35">
      <c r="A58" s="174" t="str">
        <f>'Quadro Geral'!A58</f>
        <v>LEGENDA: P = PROJETO/ A = ATIVIDADE/ PE = PROJETO ESPECÍFICO / FA = FUNDO DE APOIO</v>
      </c>
      <c r="B58" s="220"/>
      <c r="C58" s="174"/>
      <c r="D58" s="75"/>
      <c r="E58" s="172"/>
      <c r="F58" s="246"/>
      <c r="G58" s="89"/>
      <c r="I58" s="174"/>
      <c r="J58" s="174"/>
      <c r="K58" s="174"/>
      <c r="L58" s="174"/>
      <c r="M58" s="174"/>
      <c r="N58" s="174"/>
      <c r="O58" s="75"/>
      <c r="P58" s="75"/>
      <c r="Q58" s="175"/>
      <c r="R58" s="174"/>
    </row>
    <row r="59" spans="1:18" x14ac:dyDescent="0.35"/>
    <row r="60" spans="1:18" x14ac:dyDescent="0.35"/>
  </sheetData>
  <mergeCells count="19">
    <mergeCell ref="A1:R1"/>
    <mergeCell ref="H4:H5"/>
    <mergeCell ref="N4:N5"/>
    <mergeCell ref="O4:O5"/>
    <mergeCell ref="P4:P5"/>
    <mergeCell ref="Q4:Q5"/>
    <mergeCell ref="A4:A5"/>
    <mergeCell ref="C4:C5"/>
    <mergeCell ref="D4:D5"/>
    <mergeCell ref="F4:G4"/>
    <mergeCell ref="A2:R2"/>
    <mergeCell ref="R4:R5"/>
    <mergeCell ref="B4:B5"/>
    <mergeCell ref="I4:K4"/>
    <mergeCell ref="L4:L5"/>
    <mergeCell ref="M4:M5"/>
    <mergeCell ref="A56:C56"/>
    <mergeCell ref="R56:R57"/>
    <mergeCell ref="A57:D57"/>
  </mergeCells>
  <conditionalFormatting sqref="D58">
    <cfRule type="cellIs" dxfId="2" priority="4" operator="equal">
      <formula>TRUE</formula>
    </cfRule>
  </conditionalFormatting>
  <conditionalFormatting sqref="F58">
    <cfRule type="cellIs" dxfId="1" priority="3" operator="equal">
      <formula>TRUE</formula>
    </cfRule>
  </conditionalFormatting>
  <conditionalFormatting sqref="O58:Q58">
    <cfRule type="cellIs" dxfId="0" priority="1" operator="equal">
      <formula>TRUE</formula>
    </cfRule>
  </conditionalFormatting>
  <pageMargins left="0.51181102362204722" right="0.51181102362204722" top="0.78740157480314965" bottom="0.78740157480314965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7</vt:i4>
      </vt:variant>
    </vt:vector>
  </HeadingPairs>
  <TitlesOfParts>
    <vt:vector size="17" baseType="lpstr">
      <vt:lpstr>Diretrizes - Resumo</vt:lpstr>
      <vt:lpstr>Matriz de Obj. Estrat.</vt:lpstr>
      <vt:lpstr>Mapa Estratégico e ODS</vt:lpstr>
      <vt:lpstr>Indicadores e Metas</vt:lpstr>
      <vt:lpstr>Quadro Geral</vt:lpstr>
      <vt:lpstr>Anexo 1. Fontes e Aplicaçõe (2)</vt:lpstr>
      <vt:lpstr>Anexo 1. Fontes e Aplicações</vt:lpstr>
      <vt:lpstr>Anexo 2. Limites Estratégicos</vt:lpstr>
      <vt:lpstr>Anexo 3. Elemento de Despesas</vt:lpstr>
      <vt:lpstr>Validação de dados</vt:lpstr>
      <vt:lpstr>'Anexo 1. Fontes e Aplicaçõe (2)'!Area_de_impressao</vt:lpstr>
      <vt:lpstr>'Anexo 1. Fontes e Aplicações'!Area_de_impressao</vt:lpstr>
      <vt:lpstr>'Anexo 2. Limites Estratégicos'!Area_de_impressao</vt:lpstr>
      <vt:lpstr>'Indicadores e Metas'!Area_de_impressao</vt:lpstr>
      <vt:lpstr>'Mapa Estratégico e ODS'!Area_de_impressao</vt:lpstr>
      <vt:lpstr>'Matriz de Obj. Estrat.'!Area_de_impressao</vt:lpstr>
      <vt:lpstr>'Quadro Geral'!Area_de_impressao</vt:lpstr>
    </vt:vector>
  </TitlesOfParts>
  <Manager>Luiz Antonio Poletto</Manager>
  <Company>CAU/BR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Programação 2022</dc:subject>
  <dc:creator>GERPLAN-CAU/BR</dc:creator>
  <cp:keywords/>
  <dc:description/>
  <cp:lastModifiedBy>Livian Fernandes Hott</cp:lastModifiedBy>
  <cp:revision/>
  <cp:lastPrinted>2023-11-09T16:21:28Z</cp:lastPrinted>
  <dcterms:created xsi:type="dcterms:W3CDTF">2013-07-30T15:20:59Z</dcterms:created>
  <dcterms:modified xsi:type="dcterms:W3CDTF">2024-06-19T21:40:24Z</dcterms:modified>
  <cp:category/>
  <cp:contentStatus/>
</cp:coreProperties>
</file>