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sldx" ContentType="application/vnd.openxmlformats-officedocument.presentationml.slide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809"/>
  <workbookPr codeName="EstaPasta_de_trabalho"/>
  <mc:AlternateContent xmlns:mc="http://schemas.openxmlformats.org/markup-compatibility/2006">
    <mc:Choice Requires="x15">
      <x15ac:absPath xmlns:x15ac="http://schemas.microsoft.com/office/spreadsheetml/2010/11/ac" url="\\172.16.0.103\fs-caubr\ASSESSORIA DE PLANEJAMENTO E GESTAO DA ESTRATEGIA\2022\Programação 2022\CAU UF\CAU MG\"/>
    </mc:Choice>
  </mc:AlternateContent>
  <xr:revisionPtr revIDLastSave="0" documentId="8_{B6C849A7-F718-4B42-B8ED-92EA8047A3D9}" xr6:coauthVersionLast="47" xr6:coauthVersionMax="47" xr10:uidLastSave="{00000000-0000-0000-0000-000000000000}"/>
  <bookViews>
    <workbookView xWindow="405" yWindow="15" windowWidth="10860" windowHeight="10890" tabRatio="884" firstSheet="3" activeTab="3" xr2:uid="{00000000-000D-0000-FFFF-FFFF00000000}"/>
  </bookViews>
  <sheets>
    <sheet name="Orientações Iniciais" sheetId="35" state="hidden" r:id="rId1"/>
    <sheet name="Mapa Estratégico e ODS" sheetId="36" r:id="rId2"/>
    <sheet name="Indicadores e Metas" sheetId="39" r:id="rId3"/>
    <sheet name="Quadro Geral" sheetId="15" r:id="rId4"/>
    <sheet name="Anexo 1. Fontes e Aplicações" sheetId="8" r:id="rId5"/>
    <sheet name="Anexo 2. Limites Estratégicos" sheetId="23" r:id="rId6"/>
    <sheet name="Anexo 3. Elemento de Despesas" sheetId="18" r:id="rId7"/>
    <sheet name="Facultativo- Anexo 4" sheetId="42" state="hidden" r:id="rId8"/>
    <sheet name="Validação de dados" sheetId="31" state="hidden" r:id="rId9"/>
    <sheet name="Diretrizes - Resumo" sheetId="40" state="hidden" r:id="rId10"/>
    <sheet name="Matriz de Obj. Estrat." sheetId="41" state="hidden" r:id="rId11"/>
  </sheets>
  <externalReferences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</externalReferences>
  <definedNames>
    <definedName name="__xlfn_IFERROR">#N/A</definedName>
    <definedName name="_xlnm._FilterDatabase" localSheetId="9" hidden="1">'Diretrizes - Resumo'!$A$3:$V$30</definedName>
    <definedName name="_xlnm._FilterDatabase" localSheetId="2" hidden="1">'Indicadores e Metas'!$A$30:$Q$102</definedName>
    <definedName name="_xlnm._FilterDatabase" localSheetId="3" hidden="1">'Quadro Geral'!$A$6:$I$48</definedName>
    <definedName name="A" localSheetId="9">#REF!</definedName>
    <definedName name="A" localSheetId="2">#REF!</definedName>
    <definedName name="A" localSheetId="10">#REF!</definedName>
    <definedName name="A" localSheetId="0">#REF!</definedName>
    <definedName name="A" localSheetId="3">#REF!</definedName>
    <definedName name="A">#REF!</definedName>
    <definedName name="Anexo" localSheetId="2">#REF!</definedName>
    <definedName name="Anexo" localSheetId="10">#REF!</definedName>
    <definedName name="Anexo">#REF!</definedName>
    <definedName name="Anexo_1.4.4" localSheetId="2">#REF!</definedName>
    <definedName name="Anexo_1.4.4" localSheetId="10">#REF!</definedName>
    <definedName name="Anexo_1.4.4">#REF!</definedName>
    <definedName name="ar">#N/A</definedName>
    <definedName name="_xlnm.Print_Area" localSheetId="4">'Anexo 1. Fontes e Aplicações'!$A$2:$G$47</definedName>
    <definedName name="_xlnm.Print_Area" localSheetId="5">'Anexo 2. Limites Estratégicos'!$A$2:$P$3</definedName>
    <definedName name="_xlnm.Print_Area" localSheetId="2">'Indicadores e Metas'!$A$1:$F$107</definedName>
    <definedName name="_xlnm.Print_Area" localSheetId="1">'Mapa Estratégico e ODS'!$A$2:$L$5</definedName>
    <definedName name="_xlnm.Print_Area" localSheetId="10">'Matriz de Obj. Estrat.'!$A$1:$K$19</definedName>
    <definedName name="_xlnm.Print_Area" localSheetId="3">'Quadro Geral'!$A$2:$L$51</definedName>
    <definedName name="asas" localSheetId="2">#REF!</definedName>
    <definedName name="asas" localSheetId="10">#REF!</definedName>
    <definedName name="asas">#REF!</definedName>
    <definedName name="ass" localSheetId="2">#REF!</definedName>
    <definedName name="ass" localSheetId="10">#REF!</definedName>
    <definedName name="ass">#REF!</definedName>
    <definedName name="banco_de_dados_sym" localSheetId="9">#REF!</definedName>
    <definedName name="banco_de_dados_sym" localSheetId="2">#REF!</definedName>
    <definedName name="banco_de_dados_sym" localSheetId="10">#REF!</definedName>
    <definedName name="banco_de_dados_sym">#REF!</definedName>
    <definedName name="_xlnm.Database" localSheetId="9">#REF!</definedName>
    <definedName name="_xlnm.Database" localSheetId="2">#REF!</definedName>
    <definedName name="_xlnm.Database" localSheetId="10">#REF!</definedName>
    <definedName name="_xlnm.Database" localSheetId="0">#REF!</definedName>
    <definedName name="_xlnm.Database" localSheetId="3">#REF!</definedName>
    <definedName name="_xlnm.Database">#REF!</definedName>
    <definedName name="Copia" localSheetId="2">#REF!</definedName>
    <definedName name="Copia" localSheetId="10">#REF!</definedName>
    <definedName name="Copia">#REF!</definedName>
    <definedName name="copia2" localSheetId="2">#REF!</definedName>
    <definedName name="copia2" localSheetId="10">#REF!</definedName>
    <definedName name="copia2">#REF!</definedName>
    <definedName name="_xlnm.Criteria" localSheetId="2">#REF!</definedName>
    <definedName name="_xlnm.Criteria" localSheetId="10">#REF!</definedName>
    <definedName name="_xlnm.Criteria">#REF!</definedName>
    <definedName name="dados" localSheetId="2">#REF!</definedName>
    <definedName name="dados" localSheetId="10">#REF!</definedName>
    <definedName name="dados">#REF!</definedName>
    <definedName name="Database" localSheetId="10">#REF!</definedName>
    <definedName name="Database">#REF!</definedName>
    <definedName name="DEZEMBRO" localSheetId="10">#REF!</definedName>
    <definedName name="DEZEMBRO">#REF!</definedName>
    <definedName name="huala" localSheetId="2">#REF!</definedName>
    <definedName name="huala" localSheetId="10">#REF!</definedName>
    <definedName name="huala">#REF!</definedName>
    <definedName name="kk" localSheetId="2">#REF!</definedName>
    <definedName name="kk" localSheetId="10">#REF!</definedName>
    <definedName name="kk">#REF!</definedName>
    <definedName name="Percentual5" localSheetId="9">'[1]Estudos - Receita'!$XFB$1:$XFB$20</definedName>
    <definedName name="Percentual5">'[2]Estudos - Receita'!$XFB$1:$XFB$20</definedName>
    <definedName name="PJ2anos" localSheetId="9">'[1]Estudos - Quant. PJ'!$K:$O,'[1]Estudos - Quant. PJ'!$J$2</definedName>
    <definedName name="PJ2anos">'[2]Estudos - Quant. PJ'!$K:$O,'[2]Estudos - Quant. PJ'!$J$2</definedName>
    <definedName name="PREs">#N/A</definedName>
    <definedName name="Presid">#N/A</definedName>
    <definedName name="_xlnm.Print_Titles" localSheetId="3">'Quadro Geral'!$2:$7</definedName>
    <definedName name="X" localSheetId="10">#REF!</definedName>
    <definedName name="X">#REF!</definedName>
    <definedName name="XFE1048575" localSheetId="9">#REF!</definedName>
    <definedName name="XFE1048575" localSheetId="2">#REF!</definedName>
    <definedName name="XFE1048575" localSheetId="10">#REF!</definedName>
    <definedName name="XFE1048575">#REF!</definedName>
    <definedName name="XFe1048576" localSheetId="9">#REF!</definedName>
    <definedName name="XFe1048576" localSheetId="2">#REF!</definedName>
    <definedName name="XFe1048576" localSheetId="10">#REF!</definedName>
    <definedName name="XFe1048576">#REF!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47" i="18" l="1"/>
  <c r="H18" i="23"/>
  <c r="I28" i="8"/>
  <c r="E20" i="23" l="1"/>
  <c r="E511" i="42"/>
  <c r="F510" i="42"/>
  <c r="H22" i="23" l="1"/>
  <c r="C30" i="8"/>
  <c r="E42" i="8" l="1"/>
  <c r="J20" i="8"/>
  <c r="T41" i="15" l="1"/>
  <c r="T43" i="15"/>
  <c r="T45" i="15"/>
  <c r="T44" i="15"/>
  <c r="T42" i="15"/>
  <c r="T39" i="15"/>
  <c r="T40" i="15"/>
  <c r="T36" i="15"/>
  <c r="T32" i="15"/>
  <c r="T34" i="15"/>
  <c r="T30" i="15"/>
  <c r="T28" i="15"/>
  <c r="T26" i="15"/>
  <c r="T14" i="15"/>
  <c r="P8" i="15" l="1"/>
  <c r="H24" i="8" l="1"/>
  <c r="H23" i="8"/>
  <c r="H21" i="8"/>
  <c r="H20" i="8"/>
  <c r="H19" i="8"/>
  <c r="H18" i="8"/>
  <c r="H17" i="8"/>
  <c r="H16" i="8"/>
  <c r="H15" i="8"/>
  <c r="H13" i="8"/>
  <c r="H12" i="8"/>
  <c r="R5" i="23"/>
  <c r="R6" i="23"/>
  <c r="S6" i="23" l="1"/>
  <c r="T6" i="23" s="1"/>
  <c r="K9" i="15"/>
  <c r="I33" i="8"/>
  <c r="I31" i="8"/>
  <c r="V37" i="15" l="1"/>
  <c r="V35" i="15"/>
  <c r="O29" i="15"/>
  <c r="N47" i="15" l="1"/>
  <c r="M47" i="15"/>
  <c r="O47" i="15"/>
  <c r="P47" i="15"/>
  <c r="Q47" i="15"/>
  <c r="R47" i="15"/>
  <c r="S47" i="15"/>
  <c r="T47" i="15"/>
  <c r="T46" i="15"/>
  <c r="S46" i="15"/>
  <c r="R46" i="15"/>
  <c r="Q46" i="15"/>
  <c r="O46" i="15"/>
  <c r="P46" i="15"/>
  <c r="N46" i="15"/>
  <c r="M46" i="15"/>
  <c r="M45" i="15"/>
  <c r="N45" i="15"/>
  <c r="O45" i="15"/>
  <c r="P45" i="15"/>
  <c r="R45" i="15"/>
  <c r="S45" i="15"/>
  <c r="M44" i="15"/>
  <c r="N44" i="15"/>
  <c r="O44" i="15"/>
  <c r="P44" i="15"/>
  <c r="R44" i="15"/>
  <c r="S44" i="15"/>
  <c r="M43" i="15"/>
  <c r="N43" i="15"/>
  <c r="O43" i="15"/>
  <c r="P43" i="15"/>
  <c r="R43" i="15"/>
  <c r="S43" i="15"/>
  <c r="M42" i="15"/>
  <c r="N42" i="15"/>
  <c r="O42" i="15"/>
  <c r="P42" i="15"/>
  <c r="Q42" i="15"/>
  <c r="R42" i="15"/>
  <c r="S42" i="15"/>
  <c r="M41" i="15"/>
  <c r="N41" i="15"/>
  <c r="O41" i="15"/>
  <c r="P41" i="15"/>
  <c r="Q41" i="15"/>
  <c r="R41" i="15"/>
  <c r="S41" i="15"/>
  <c r="M40" i="15"/>
  <c r="N40" i="15"/>
  <c r="O40" i="15"/>
  <c r="P40" i="15"/>
  <c r="Q40" i="15"/>
  <c r="R40" i="15"/>
  <c r="S40" i="15"/>
  <c r="O39" i="15"/>
  <c r="M39" i="15"/>
  <c r="N39" i="15"/>
  <c r="P39" i="15"/>
  <c r="Q39" i="15"/>
  <c r="R39" i="15"/>
  <c r="S39" i="15"/>
  <c r="T38" i="15"/>
  <c r="S38" i="15"/>
  <c r="R38" i="15"/>
  <c r="Q38" i="15"/>
  <c r="P38" i="15"/>
  <c r="O38" i="15"/>
  <c r="N38" i="15"/>
  <c r="M38" i="15"/>
  <c r="M37" i="15"/>
  <c r="N37" i="15"/>
  <c r="O37" i="15"/>
  <c r="P37" i="15"/>
  <c r="Q37" i="15"/>
  <c r="R37" i="15"/>
  <c r="S37" i="15"/>
  <c r="T37" i="15"/>
  <c r="M36" i="15"/>
  <c r="N36" i="15"/>
  <c r="O36" i="15"/>
  <c r="P36" i="15"/>
  <c r="Q36" i="15"/>
  <c r="R36" i="15"/>
  <c r="S36" i="15"/>
  <c r="M35" i="15"/>
  <c r="N35" i="15"/>
  <c r="O35" i="15"/>
  <c r="O33" i="15"/>
  <c r="P35" i="15"/>
  <c r="Q35" i="15"/>
  <c r="R35" i="15"/>
  <c r="S35" i="15"/>
  <c r="T35" i="15"/>
  <c r="M34" i="15"/>
  <c r="N34" i="15"/>
  <c r="P34" i="15"/>
  <c r="Q34" i="15"/>
  <c r="R34" i="15"/>
  <c r="P33" i="15"/>
  <c r="M33" i="15"/>
  <c r="N33" i="15"/>
  <c r="T33" i="15"/>
  <c r="Q33" i="15"/>
  <c r="R33" i="15"/>
  <c r="S33" i="15"/>
  <c r="M32" i="15"/>
  <c r="N32" i="15"/>
  <c r="O32" i="15"/>
  <c r="P32" i="15"/>
  <c r="Q32" i="15"/>
  <c r="R32" i="15"/>
  <c r="S32" i="15"/>
  <c r="M31" i="15"/>
  <c r="N31" i="15"/>
  <c r="P31" i="15"/>
  <c r="Q31" i="15"/>
  <c r="R31" i="15"/>
  <c r="S31" i="15"/>
  <c r="T31" i="15"/>
  <c r="M30" i="15"/>
  <c r="N30" i="15"/>
  <c r="P30" i="15"/>
  <c r="Q30" i="15"/>
  <c r="R30" i="15"/>
  <c r="S30" i="15"/>
  <c r="T29" i="15" l="1"/>
  <c r="S29" i="15"/>
  <c r="R29" i="15"/>
  <c r="Q29" i="15"/>
  <c r="P29" i="15"/>
  <c r="N29" i="15"/>
  <c r="M29" i="15"/>
  <c r="S28" i="15"/>
  <c r="R28" i="15"/>
  <c r="Q28" i="15"/>
  <c r="P28" i="15"/>
  <c r="N28" i="15"/>
  <c r="M28" i="15"/>
  <c r="M27" i="15"/>
  <c r="P27" i="15"/>
  <c r="Q27" i="15"/>
  <c r="R27" i="15"/>
  <c r="S27" i="15"/>
  <c r="T27" i="15"/>
  <c r="S26" i="15"/>
  <c r="R26" i="15"/>
  <c r="Q26" i="15"/>
  <c r="P26" i="15"/>
  <c r="N26" i="15"/>
  <c r="M26" i="15"/>
  <c r="Q43" i="15"/>
  <c r="Q44" i="15"/>
  <c r="Q45" i="15"/>
  <c r="O27" i="15"/>
  <c r="N27" i="15"/>
  <c r="T24" i="15"/>
  <c r="S24" i="15"/>
  <c r="R24" i="15"/>
  <c r="Q24" i="15"/>
  <c r="O24" i="15"/>
  <c r="P24" i="15"/>
  <c r="N24" i="15"/>
  <c r="M24" i="15"/>
  <c r="T23" i="15"/>
  <c r="S23" i="15"/>
  <c r="R23" i="15"/>
  <c r="Q23" i="15"/>
  <c r="P23" i="15"/>
  <c r="O23" i="15"/>
  <c r="N23" i="15"/>
  <c r="M23" i="15"/>
  <c r="T13" i="15"/>
  <c r="M12" i="15"/>
  <c r="N12" i="15"/>
  <c r="O12" i="15"/>
  <c r="P12" i="15"/>
  <c r="Q12" i="15"/>
  <c r="T20" i="15"/>
  <c r="S20" i="15"/>
  <c r="R20" i="15"/>
  <c r="Q20" i="15"/>
  <c r="P20" i="15"/>
  <c r="O20" i="15"/>
  <c r="M20" i="15"/>
  <c r="N20" i="15"/>
  <c r="O19" i="15"/>
  <c r="N19" i="15"/>
  <c r="M19" i="15"/>
  <c r="Q19" i="15"/>
  <c r="P19" i="15"/>
  <c r="R19" i="15"/>
  <c r="S19" i="15"/>
  <c r="T19" i="15"/>
  <c r="T18" i="15"/>
  <c r="S18" i="15"/>
  <c r="R18" i="15"/>
  <c r="Q18" i="15"/>
  <c r="P18" i="15"/>
  <c r="O18" i="15"/>
  <c r="N18" i="15"/>
  <c r="M18" i="15"/>
  <c r="T21" i="15"/>
  <c r="S21" i="15"/>
  <c r="R21" i="15"/>
  <c r="Q21" i="15"/>
  <c r="P21" i="15"/>
  <c r="O21" i="15"/>
  <c r="N21" i="15"/>
  <c r="M21" i="15"/>
  <c r="T22" i="15"/>
  <c r="S22" i="15"/>
  <c r="R22" i="15"/>
  <c r="Q22" i="15"/>
  <c r="P22" i="15"/>
  <c r="O22" i="15"/>
  <c r="N22" i="15"/>
  <c r="M22" i="15"/>
  <c r="T17" i="15"/>
  <c r="S17" i="15"/>
  <c r="R17" i="15"/>
  <c r="Q17" i="15"/>
  <c r="P17" i="15"/>
  <c r="O17" i="15"/>
  <c r="N17" i="15"/>
  <c r="M17" i="15"/>
  <c r="S13" i="15"/>
  <c r="R13" i="15"/>
  <c r="R12" i="15"/>
  <c r="S12" i="15"/>
  <c r="T12" i="15"/>
  <c r="R11" i="15"/>
  <c r="S11" i="15"/>
  <c r="T11" i="15"/>
  <c r="T10" i="15"/>
  <c r="S10" i="15"/>
  <c r="R10" i="15"/>
  <c r="R9" i="15"/>
  <c r="S9" i="15"/>
  <c r="T9" i="15"/>
  <c r="T8" i="15"/>
  <c r="S8" i="15"/>
  <c r="R8" i="15"/>
  <c r="M16" i="15"/>
  <c r="N16" i="15"/>
  <c r="O16" i="15"/>
  <c r="P16" i="15"/>
  <c r="Q16" i="15"/>
  <c r="R16" i="15"/>
  <c r="S16" i="15"/>
  <c r="T16" i="15"/>
  <c r="T15" i="15"/>
  <c r="S15" i="15"/>
  <c r="R15" i="15"/>
  <c r="Q15" i="15"/>
  <c r="P15" i="15"/>
  <c r="O15" i="15"/>
  <c r="N15" i="15"/>
  <c r="M15" i="15"/>
  <c r="S14" i="15"/>
  <c r="R14" i="15"/>
  <c r="Q14" i="15"/>
  <c r="P14" i="15"/>
  <c r="O14" i="15"/>
  <c r="N14" i="15"/>
  <c r="M14" i="15"/>
  <c r="Q13" i="15"/>
  <c r="P13" i="15"/>
  <c r="O13" i="15"/>
  <c r="N13" i="15"/>
  <c r="M13" i="15"/>
  <c r="Q11" i="15"/>
  <c r="P11" i="15"/>
  <c r="O11" i="15"/>
  <c r="N11" i="15"/>
  <c r="M11" i="15"/>
  <c r="Q10" i="15"/>
  <c r="P10" i="15"/>
  <c r="O10" i="15"/>
  <c r="N10" i="15"/>
  <c r="M10" i="15"/>
  <c r="Q9" i="15"/>
  <c r="P9" i="15"/>
  <c r="O9" i="15"/>
  <c r="M9" i="15"/>
  <c r="N9" i="15"/>
  <c r="Q8" i="15"/>
  <c r="O8" i="15"/>
  <c r="N8" i="15"/>
  <c r="M8" i="15"/>
  <c r="H105" i="39" l="1"/>
  <c r="H103" i="39"/>
  <c r="H100" i="39"/>
  <c r="H93" i="39"/>
  <c r="H91" i="39"/>
  <c r="H89" i="39"/>
  <c r="H82" i="39"/>
  <c r="H75" i="39"/>
  <c r="H73" i="39"/>
  <c r="H71" i="39"/>
  <c r="H68" i="39"/>
  <c r="H66" i="39"/>
  <c r="H54" i="39"/>
  <c r="H52" i="39"/>
  <c r="H47" i="39"/>
  <c r="H41" i="39"/>
  <c r="H36" i="39"/>
  <c r="H34" i="39"/>
  <c r="H31" i="39"/>
  <c r="H29" i="39"/>
  <c r="H27" i="39"/>
  <c r="H23" i="39"/>
  <c r="H19" i="39"/>
  <c r="H25" i="39"/>
  <c r="H21" i="39"/>
  <c r="H8" i="39"/>
  <c r="H13" i="39"/>
  <c r="H15" i="39"/>
  <c r="H17" i="39"/>
  <c r="G105" i="39"/>
  <c r="G103" i="39"/>
  <c r="G100" i="39"/>
  <c r="G96" i="39"/>
  <c r="G93" i="39"/>
  <c r="G91" i="39"/>
  <c r="G89" i="39"/>
  <c r="G86" i="39"/>
  <c r="G84" i="39"/>
  <c r="G82" i="39"/>
  <c r="G80" i="39"/>
  <c r="G78" i="39"/>
  <c r="G75" i="39"/>
  <c r="G73" i="39"/>
  <c r="G71" i="39"/>
  <c r="G68" i="39"/>
  <c r="G66" i="39"/>
  <c r="G64" i="39"/>
  <c r="G60" i="39"/>
  <c r="G58" i="39"/>
  <c r="G54" i="39"/>
  <c r="G52" i="39"/>
  <c r="G47" i="39"/>
  <c r="G45" i="39"/>
  <c r="G43" i="39"/>
  <c r="G41" i="39"/>
  <c r="G38" i="39"/>
  <c r="G36" i="39"/>
  <c r="G34" i="39"/>
  <c r="G31" i="39"/>
  <c r="G29" i="39"/>
  <c r="G27" i="39"/>
  <c r="G25" i="39"/>
  <c r="G23" i="39"/>
  <c r="G21" i="39"/>
  <c r="G19" i="39"/>
  <c r="G17" i="39"/>
  <c r="G15" i="39"/>
  <c r="G13" i="39"/>
  <c r="G8" i="39"/>
  <c r="G99" i="39"/>
  <c r="G62" i="39"/>
  <c r="G57" i="39"/>
  <c r="G50" i="39"/>
  <c r="J48" i="15" l="1"/>
  <c r="AN6" i="40" l="1"/>
  <c r="G582" i="42" l="1"/>
  <c r="A2" i="15" l="1"/>
  <c r="O28" i="18" l="1"/>
  <c r="O38" i="18"/>
  <c r="E18" i="23" l="1"/>
  <c r="I18" i="23" s="1"/>
  <c r="E12" i="23" l="1"/>
  <c r="E729" i="42"/>
  <c r="D729" i="42"/>
  <c r="F728" i="42"/>
  <c r="F729" i="42" s="1"/>
  <c r="F82" i="39"/>
  <c r="F86" i="39"/>
  <c r="F84" i="39"/>
  <c r="F80" i="39"/>
  <c r="F78" i="39"/>
  <c r="F41" i="39" l="1"/>
  <c r="D159" i="42" l="1"/>
  <c r="D80" i="42"/>
  <c r="D648" i="42" l="1"/>
  <c r="E633" i="42"/>
  <c r="D618" i="42"/>
  <c r="E618" i="42"/>
  <c r="D582" i="42"/>
  <c r="E582" i="42"/>
  <c r="D392" i="42"/>
  <c r="D349" i="42"/>
  <c r="G349" i="42"/>
  <c r="D288" i="42"/>
  <c r="G277" i="42"/>
  <c r="G265" i="42"/>
  <c r="F716" i="42"/>
  <c r="F715" i="42"/>
  <c r="F714" i="42"/>
  <c r="F713" i="42"/>
  <c r="F712" i="42"/>
  <c r="F711" i="42"/>
  <c r="F710" i="42"/>
  <c r="F709" i="42"/>
  <c r="F708" i="42"/>
  <c r="F707" i="42"/>
  <c r="F706" i="42"/>
  <c r="F705" i="42"/>
  <c r="F704" i="42"/>
  <c r="F703" i="42"/>
  <c r="F702" i="42"/>
  <c r="F701" i="42"/>
  <c r="F700" i="42"/>
  <c r="F699" i="42"/>
  <c r="F698" i="42"/>
  <c r="F697" i="42"/>
  <c r="F696" i="42"/>
  <c r="F695" i="42"/>
  <c r="F694" i="42"/>
  <c r="F693" i="42"/>
  <c r="F692" i="42"/>
  <c r="F691" i="42"/>
  <c r="F690" i="42"/>
  <c r="F689" i="42"/>
  <c r="F717" i="42" s="1"/>
  <c r="F677" i="42"/>
  <c r="F676" i="42"/>
  <c r="F675" i="42"/>
  <c r="F674" i="42"/>
  <c r="F662" i="42"/>
  <c r="F661" i="42"/>
  <c r="F660" i="42"/>
  <c r="F659" i="42"/>
  <c r="F663" i="42" s="1"/>
  <c r="F644" i="42"/>
  <c r="F647" i="42"/>
  <c r="F646" i="42"/>
  <c r="F645" i="42"/>
  <c r="F632" i="42"/>
  <c r="F631" i="42"/>
  <c r="F630" i="42"/>
  <c r="F629" i="42"/>
  <c r="F633" i="42" s="1"/>
  <c r="F617" i="42"/>
  <c r="F616" i="42"/>
  <c r="F615" i="42"/>
  <c r="F614" i="42"/>
  <c r="F618" i="42" s="1"/>
  <c r="F602" i="42"/>
  <c r="F601" i="42"/>
  <c r="F600" i="42"/>
  <c r="F599" i="42"/>
  <c r="F598" i="42"/>
  <c r="F597" i="42"/>
  <c r="F596" i="42"/>
  <c r="F595" i="42"/>
  <c r="F594" i="42"/>
  <c r="F593" i="42"/>
  <c r="F581" i="42"/>
  <c r="F582" i="42" s="1"/>
  <c r="F580" i="42"/>
  <c r="F579" i="42"/>
  <c r="F578" i="42"/>
  <c r="F577" i="42"/>
  <c r="F576" i="42"/>
  <c r="F575" i="42"/>
  <c r="F574" i="42"/>
  <c r="F550" i="42"/>
  <c r="F551" i="42" s="1"/>
  <c r="F562" i="42"/>
  <c r="F563" i="42" s="1"/>
  <c r="F538" i="42"/>
  <c r="F537" i="42"/>
  <c r="F536" i="42"/>
  <c r="F535" i="42"/>
  <c r="F534" i="42"/>
  <c r="F522" i="42"/>
  <c r="F523" i="42" s="1"/>
  <c r="F509" i="42"/>
  <c r="F508" i="42"/>
  <c r="F507" i="42"/>
  <c r="F506" i="42"/>
  <c r="F505" i="42"/>
  <c r="F504" i="42"/>
  <c r="F503" i="42"/>
  <c r="F491" i="42"/>
  <c r="F492" i="42" s="1"/>
  <c r="F479" i="42"/>
  <c r="F478" i="42"/>
  <c r="F477" i="42"/>
  <c r="F476" i="42"/>
  <c r="F475" i="42"/>
  <c r="F474" i="42"/>
  <c r="F480" i="42" s="1"/>
  <c r="F462" i="42"/>
  <c r="F461" i="42"/>
  <c r="F460" i="42"/>
  <c r="F459" i="42"/>
  <c r="F458" i="42"/>
  <c r="F457" i="42"/>
  <c r="F456" i="42"/>
  <c r="F455" i="42"/>
  <c r="F454" i="42"/>
  <c r="F453" i="42"/>
  <c r="F452" i="42"/>
  <c r="F451" i="42"/>
  <c r="F450" i="42"/>
  <c r="F438" i="42"/>
  <c r="F437" i="42"/>
  <c r="F436" i="42"/>
  <c r="F435" i="42"/>
  <c r="F434" i="42"/>
  <c r="F433" i="42"/>
  <c r="F421" i="42"/>
  <c r="F420" i="42"/>
  <c r="F408" i="42"/>
  <c r="F407" i="42"/>
  <c r="F406" i="42"/>
  <c r="F405" i="42"/>
  <c r="F404" i="42"/>
  <c r="F403" i="42"/>
  <c r="F391" i="42"/>
  <c r="F390" i="42"/>
  <c r="F389" i="42"/>
  <c r="F388" i="42"/>
  <c r="F387" i="42"/>
  <c r="F386" i="42"/>
  <c r="F385" i="42"/>
  <c r="F384" i="42"/>
  <c r="F372" i="42"/>
  <c r="F371" i="42"/>
  <c r="F370" i="42"/>
  <c r="F369" i="42"/>
  <c r="F368" i="42"/>
  <c r="F367" i="42"/>
  <c r="F366" i="42"/>
  <c r="F365" i="42"/>
  <c r="F364" i="42"/>
  <c r="F363" i="42"/>
  <c r="F362" i="42"/>
  <c r="F361" i="42"/>
  <c r="F348" i="42"/>
  <c r="F347" i="42"/>
  <c r="F335" i="42"/>
  <c r="F334" i="42"/>
  <c r="F333" i="42"/>
  <c r="F332" i="42"/>
  <c r="F331" i="42"/>
  <c r="F330" i="42"/>
  <c r="F329" i="42"/>
  <c r="F328" i="42"/>
  <c r="F327" i="42"/>
  <c r="F326" i="42"/>
  <c r="F325" i="42"/>
  <c r="F324" i="42"/>
  <c r="F323" i="42"/>
  <c r="F311" i="42"/>
  <c r="F312" i="42" s="1"/>
  <c r="F299" i="42"/>
  <c r="F300" i="42" s="1"/>
  <c r="F287" i="42"/>
  <c r="F288" i="42" s="1"/>
  <c r="F276" i="42"/>
  <c r="F264" i="42"/>
  <c r="F265" i="42" s="1"/>
  <c r="F252" i="42"/>
  <c r="F253" i="42" s="1"/>
  <c r="F240" i="42"/>
  <c r="F241" i="42" s="1"/>
  <c r="F228" i="42"/>
  <c r="F229" i="42" s="1"/>
  <c r="F216" i="42"/>
  <c r="F215" i="42"/>
  <c r="F214" i="42"/>
  <c r="F213" i="42"/>
  <c r="F212" i="42"/>
  <c r="F211" i="42"/>
  <c r="F210" i="42"/>
  <c r="F198" i="42"/>
  <c r="F197" i="42"/>
  <c r="F196" i="42"/>
  <c r="F195" i="42"/>
  <c r="F194" i="42"/>
  <c r="F193" i="42"/>
  <c r="F192" i="42"/>
  <c r="F191" i="42"/>
  <c r="F190" i="42"/>
  <c r="F189" i="42"/>
  <c r="F188" i="42"/>
  <c r="F187" i="42"/>
  <c r="F186" i="42"/>
  <c r="F185" i="42"/>
  <c r="F184" i="42"/>
  <c r="F183" i="42"/>
  <c r="F182" i="42"/>
  <c r="F181" i="42"/>
  <c r="F180" i="42"/>
  <c r="F179" i="42"/>
  <c r="F178" i="42"/>
  <c r="F177" i="42"/>
  <c r="F176" i="42"/>
  <c r="F175" i="42"/>
  <c r="F174" i="42"/>
  <c r="F173" i="42"/>
  <c r="F172" i="42"/>
  <c r="F171" i="42"/>
  <c r="F170" i="42"/>
  <c r="F158" i="42"/>
  <c r="F157" i="42"/>
  <c r="F156" i="42"/>
  <c r="F155" i="42"/>
  <c r="F154" i="42"/>
  <c r="F153" i="42"/>
  <c r="F152" i="42"/>
  <c r="F151" i="42"/>
  <c r="F150" i="42"/>
  <c r="F149" i="42"/>
  <c r="F148" i="42"/>
  <c r="F147" i="42"/>
  <c r="F146" i="42"/>
  <c r="F145" i="42"/>
  <c r="F144" i="42"/>
  <c r="F143" i="42"/>
  <c r="F142" i="42"/>
  <c r="F141" i="42"/>
  <c r="F140" i="42"/>
  <c r="F139" i="42"/>
  <c r="F127" i="42"/>
  <c r="F126" i="42"/>
  <c r="F125" i="42"/>
  <c r="F124" i="42"/>
  <c r="F123" i="42"/>
  <c r="F122" i="42"/>
  <c r="F121" i="42"/>
  <c r="F120" i="42"/>
  <c r="F119" i="42"/>
  <c r="F118" i="42"/>
  <c r="F117" i="42"/>
  <c r="F116" i="42"/>
  <c r="F115" i="42"/>
  <c r="F114" i="42"/>
  <c r="F113" i="42"/>
  <c r="F112" i="42"/>
  <c r="F111" i="42"/>
  <c r="F99" i="42"/>
  <c r="F98" i="42"/>
  <c r="F97" i="42"/>
  <c r="F96" i="42"/>
  <c r="F95" i="42"/>
  <c r="F94" i="42"/>
  <c r="F93" i="42"/>
  <c r="F92" i="42"/>
  <c r="F91" i="42"/>
  <c r="F100" i="42" s="1"/>
  <c r="F79" i="42"/>
  <c r="F78" i="42"/>
  <c r="F77" i="42"/>
  <c r="F76" i="42"/>
  <c r="F75" i="42"/>
  <c r="F74" i="42"/>
  <c r="F73" i="42"/>
  <c r="F72" i="42"/>
  <c r="F71" i="42"/>
  <c r="F70" i="42"/>
  <c r="F69" i="42"/>
  <c r="F68" i="42"/>
  <c r="F67" i="42"/>
  <c r="F66" i="42"/>
  <c r="F65" i="42"/>
  <c r="F64" i="42"/>
  <c r="F63" i="42"/>
  <c r="F62" i="42"/>
  <c r="F61" i="42"/>
  <c r="F60" i="42"/>
  <c r="F59" i="42"/>
  <c r="F58" i="42"/>
  <c r="F57" i="42"/>
  <c r="F56" i="42"/>
  <c r="F55" i="42"/>
  <c r="F54" i="42"/>
  <c r="F53" i="42"/>
  <c r="F52" i="42"/>
  <c r="F51" i="42"/>
  <c r="F39" i="42"/>
  <c r="F38" i="42"/>
  <c r="F37" i="42"/>
  <c r="F36" i="42"/>
  <c r="F35" i="42"/>
  <c r="F34" i="42"/>
  <c r="F33" i="42"/>
  <c r="F32" i="42"/>
  <c r="F10" i="42"/>
  <c r="F11" i="42"/>
  <c r="F12" i="42"/>
  <c r="F13" i="42"/>
  <c r="F14" i="42"/>
  <c r="F15" i="42"/>
  <c r="F16" i="42"/>
  <c r="F17" i="42"/>
  <c r="F18" i="42"/>
  <c r="F19" i="42"/>
  <c r="F20" i="42"/>
  <c r="F9" i="42"/>
  <c r="F159" i="42" l="1"/>
  <c r="F392" i="42"/>
  <c r="F409" i="42"/>
  <c r="F439" i="42"/>
  <c r="F199" i="42"/>
  <c r="F336" i="42"/>
  <c r="F678" i="42"/>
  <c r="F128" i="42"/>
  <c r="F21" i="42"/>
  <c r="F40" i="42"/>
  <c r="F80" i="42"/>
  <c r="F217" i="42"/>
  <c r="F349" i="42"/>
  <c r="F422" i="42"/>
  <c r="F463" i="42"/>
  <c r="F511" i="42"/>
  <c r="F603" i="42"/>
  <c r="F648" i="42"/>
  <c r="F539" i="42"/>
  <c r="D40" i="42"/>
  <c r="E40" i="42"/>
  <c r="D21" i="42"/>
  <c r="E21" i="42"/>
  <c r="D20" i="23" l="1"/>
  <c r="G20" i="23" s="1"/>
  <c r="D22" i="23" l="1"/>
  <c r="G22" i="23" s="1"/>
  <c r="D18" i="23"/>
  <c r="G18" i="23" s="1"/>
  <c r="D16" i="23"/>
  <c r="G16" i="23" s="1"/>
  <c r="D14" i="23"/>
  <c r="G14" i="23" s="1"/>
  <c r="D12" i="23"/>
  <c r="G12" i="23" s="1"/>
  <c r="N14" i="23" l="1"/>
  <c r="R14" i="23" s="1"/>
  <c r="C33" i="8"/>
  <c r="H33" i="8" s="1"/>
  <c r="C32" i="8"/>
  <c r="H32" i="8" s="1"/>
  <c r="C31" i="8"/>
  <c r="H31" i="8" s="1"/>
  <c r="E288" i="42"/>
  <c r="E22" i="23" l="1"/>
  <c r="I22" i="23" s="1"/>
  <c r="E349" i="42"/>
  <c r="G717" i="42"/>
  <c r="E717" i="42"/>
  <c r="D717" i="42"/>
  <c r="H716" i="42"/>
  <c r="H715" i="42"/>
  <c r="H714" i="42"/>
  <c r="H713" i="42"/>
  <c r="H712" i="42"/>
  <c r="H711" i="42"/>
  <c r="H710" i="42"/>
  <c r="H709" i="42"/>
  <c r="H708" i="42"/>
  <c r="H707" i="42"/>
  <c r="H706" i="42"/>
  <c r="H705" i="42"/>
  <c r="H704" i="42"/>
  <c r="H703" i="42"/>
  <c r="H701" i="42"/>
  <c r="H700" i="42"/>
  <c r="H689" i="42"/>
  <c r="G678" i="42"/>
  <c r="D678" i="42"/>
  <c r="G663" i="42"/>
  <c r="D663" i="42"/>
  <c r="G648" i="42"/>
  <c r="G633" i="42"/>
  <c r="D633" i="42"/>
  <c r="G618" i="42"/>
  <c r="G603" i="42"/>
  <c r="E603" i="42"/>
  <c r="D603" i="42"/>
  <c r="G563" i="42"/>
  <c r="E563" i="42"/>
  <c r="D563" i="42"/>
  <c r="G551" i="42"/>
  <c r="E551" i="42"/>
  <c r="D551" i="42"/>
  <c r="G539" i="42"/>
  <c r="E539" i="42"/>
  <c r="D539" i="42"/>
  <c r="G523" i="42"/>
  <c r="E523" i="42"/>
  <c r="D523" i="42"/>
  <c r="G511" i="42"/>
  <c r="D511" i="42"/>
  <c r="G492" i="42"/>
  <c r="E492" i="42"/>
  <c r="D492" i="42"/>
  <c r="G480" i="42"/>
  <c r="E480" i="42"/>
  <c r="D480" i="42"/>
  <c r="G463" i="42"/>
  <c r="E463" i="42"/>
  <c r="D463" i="42"/>
  <c r="G439" i="42"/>
  <c r="E439" i="42"/>
  <c r="D439" i="42"/>
  <c r="G422" i="42"/>
  <c r="E422" i="42"/>
  <c r="D422" i="42"/>
  <c r="G409" i="42"/>
  <c r="E409" i="42"/>
  <c r="D409" i="42"/>
  <c r="G392" i="42"/>
  <c r="E392" i="42"/>
  <c r="G373" i="42"/>
  <c r="E373" i="42"/>
  <c r="D373" i="42"/>
  <c r="H372" i="42"/>
  <c r="H371" i="42"/>
  <c r="H368" i="42"/>
  <c r="H364" i="42"/>
  <c r="H363" i="42"/>
  <c r="H362" i="42"/>
  <c r="H361" i="42"/>
  <c r="H360" i="42"/>
  <c r="F360" i="42"/>
  <c r="F373" i="42" s="1"/>
  <c r="G336" i="42"/>
  <c r="E336" i="42"/>
  <c r="D336" i="42"/>
  <c r="G312" i="42"/>
  <c r="E312" i="42"/>
  <c r="D312" i="42"/>
  <c r="G300" i="42"/>
  <c r="E300" i="42"/>
  <c r="D300" i="42"/>
  <c r="E277" i="42"/>
  <c r="D277" i="42"/>
  <c r="E265" i="42"/>
  <c r="D265" i="42"/>
  <c r="G253" i="42"/>
  <c r="E253" i="42"/>
  <c r="D253" i="42"/>
  <c r="G241" i="42"/>
  <c r="E241" i="42"/>
  <c r="D241" i="42"/>
  <c r="G229" i="42"/>
  <c r="E229" i="42"/>
  <c r="D229" i="42"/>
  <c r="G217" i="42"/>
  <c r="E217" i="42"/>
  <c r="D217" i="42"/>
  <c r="G199" i="42"/>
  <c r="E199" i="42"/>
  <c r="D199" i="42"/>
  <c r="G159" i="42"/>
  <c r="E159" i="42"/>
  <c r="G128" i="42"/>
  <c r="E128" i="42"/>
  <c r="D128" i="42"/>
  <c r="H127" i="42"/>
  <c r="H126" i="42"/>
  <c r="H125" i="42"/>
  <c r="H124" i="42"/>
  <c r="H123" i="42"/>
  <c r="H122" i="42"/>
  <c r="H121" i="42"/>
  <c r="G100" i="42"/>
  <c r="E100" i="42"/>
  <c r="D100" i="42"/>
  <c r="G80" i="42"/>
  <c r="E80" i="42"/>
  <c r="G40" i="42"/>
  <c r="G21" i="42"/>
  <c r="D33" i="8" l="1"/>
  <c r="J33" i="8" s="1"/>
  <c r="D31" i="8"/>
  <c r="J31" i="8" s="1"/>
  <c r="D32" i="8"/>
  <c r="O14" i="23"/>
  <c r="E16" i="23"/>
  <c r="H241" i="42"/>
  <c r="H492" i="42"/>
  <c r="H551" i="42"/>
  <c r="H373" i="42"/>
  <c r="H563" i="42"/>
  <c r="H277" i="42"/>
  <c r="H265" i="42"/>
  <c r="H300" i="42"/>
  <c r="H40" i="42"/>
  <c r="H199" i="42"/>
  <c r="H253" i="42"/>
  <c r="H159" i="42"/>
  <c r="H229" i="42"/>
  <c r="H480" i="42"/>
  <c r="H603" i="42"/>
  <c r="H80" i="42"/>
  <c r="H128" i="42"/>
  <c r="F277" i="42"/>
  <c r="H392" i="42"/>
  <c r="H463" i="42"/>
  <c r="E678" i="42"/>
  <c r="H100" i="42"/>
  <c r="H409" i="42"/>
  <c r="H217" i="42"/>
  <c r="H717" i="42"/>
  <c r="H336" i="42"/>
  <c r="H422" i="42"/>
  <c r="H523" i="42"/>
  <c r="E648" i="42"/>
  <c r="H349" i="42"/>
  <c r="H439" i="42"/>
  <c r="H539" i="42"/>
  <c r="H312" i="42"/>
  <c r="H511" i="42"/>
  <c r="E663" i="42"/>
  <c r="H21" i="42"/>
  <c r="E735" i="42" l="1"/>
  <c r="H633" i="42"/>
  <c r="H678" i="42"/>
  <c r="H618" i="42"/>
  <c r="H648" i="42"/>
  <c r="H663" i="42"/>
  <c r="E14" i="23" l="1"/>
  <c r="B5" i="40"/>
  <c r="C5" i="40"/>
  <c r="E5" i="40"/>
  <c r="F5" i="40"/>
  <c r="H5" i="40"/>
  <c r="I5" i="40"/>
  <c r="B6" i="40"/>
  <c r="C6" i="40"/>
  <c r="E6" i="40"/>
  <c r="F6" i="40"/>
  <c r="H6" i="40"/>
  <c r="I6" i="40"/>
  <c r="B7" i="40"/>
  <c r="C7" i="40"/>
  <c r="E7" i="40"/>
  <c r="F7" i="40"/>
  <c r="H7" i="40"/>
  <c r="I7" i="40"/>
  <c r="B8" i="40"/>
  <c r="C8" i="40"/>
  <c r="E8" i="40"/>
  <c r="F8" i="40"/>
  <c r="H8" i="40"/>
  <c r="I8" i="40"/>
  <c r="B9" i="40"/>
  <c r="C9" i="40"/>
  <c r="E9" i="40"/>
  <c r="F9" i="40"/>
  <c r="H9" i="40"/>
  <c r="I9" i="40"/>
  <c r="B10" i="40"/>
  <c r="C10" i="40"/>
  <c r="E10" i="40"/>
  <c r="F10" i="40"/>
  <c r="H10" i="40"/>
  <c r="I10" i="40"/>
  <c r="B11" i="40"/>
  <c r="C11" i="40"/>
  <c r="E11" i="40"/>
  <c r="F11" i="40"/>
  <c r="H11" i="40"/>
  <c r="I11" i="40"/>
  <c r="B12" i="40"/>
  <c r="C12" i="40"/>
  <c r="E12" i="40"/>
  <c r="F12" i="40"/>
  <c r="H12" i="40"/>
  <c r="I12" i="40"/>
  <c r="B13" i="40"/>
  <c r="C13" i="40"/>
  <c r="E13" i="40"/>
  <c r="F13" i="40"/>
  <c r="H13" i="40"/>
  <c r="I13" i="40"/>
  <c r="B14" i="40"/>
  <c r="C14" i="40"/>
  <c r="E14" i="40"/>
  <c r="F14" i="40"/>
  <c r="H14" i="40"/>
  <c r="I14" i="40"/>
  <c r="B15" i="40"/>
  <c r="C15" i="40"/>
  <c r="E15" i="40"/>
  <c r="F15" i="40"/>
  <c r="H15" i="40"/>
  <c r="I15" i="40"/>
  <c r="B16" i="40"/>
  <c r="C16" i="40"/>
  <c r="E16" i="40"/>
  <c r="F16" i="40"/>
  <c r="H16" i="40"/>
  <c r="I16" i="40"/>
  <c r="B17" i="40"/>
  <c r="C17" i="40"/>
  <c r="E17" i="40"/>
  <c r="F17" i="40"/>
  <c r="H17" i="40"/>
  <c r="I17" i="40"/>
  <c r="B18" i="40"/>
  <c r="C18" i="40"/>
  <c r="E18" i="40"/>
  <c r="F18" i="40"/>
  <c r="H18" i="40"/>
  <c r="I18" i="40"/>
  <c r="B19" i="40"/>
  <c r="C19" i="40"/>
  <c r="E19" i="40"/>
  <c r="F19" i="40"/>
  <c r="H19" i="40"/>
  <c r="I19" i="40"/>
  <c r="B20" i="40"/>
  <c r="C20" i="40"/>
  <c r="E20" i="40"/>
  <c r="F20" i="40"/>
  <c r="H20" i="40"/>
  <c r="I20" i="40"/>
  <c r="B21" i="40"/>
  <c r="C21" i="40"/>
  <c r="E21" i="40"/>
  <c r="F21" i="40"/>
  <c r="H21" i="40"/>
  <c r="I21" i="40"/>
  <c r="B22" i="40"/>
  <c r="C22" i="40"/>
  <c r="E22" i="40"/>
  <c r="F22" i="40"/>
  <c r="H22" i="40"/>
  <c r="I22" i="40"/>
  <c r="B23" i="40"/>
  <c r="C23" i="40"/>
  <c r="E23" i="40"/>
  <c r="F23" i="40"/>
  <c r="H23" i="40"/>
  <c r="I23" i="40"/>
  <c r="B24" i="40"/>
  <c r="C24" i="40"/>
  <c r="E24" i="40"/>
  <c r="F24" i="40"/>
  <c r="H24" i="40"/>
  <c r="I24" i="40"/>
  <c r="B25" i="40"/>
  <c r="C25" i="40"/>
  <c r="E25" i="40"/>
  <c r="F25" i="40"/>
  <c r="H25" i="40"/>
  <c r="I25" i="40"/>
  <c r="B26" i="40"/>
  <c r="C26" i="40"/>
  <c r="E26" i="40"/>
  <c r="F26" i="40"/>
  <c r="H26" i="40"/>
  <c r="I26" i="40"/>
  <c r="B27" i="40"/>
  <c r="C27" i="40"/>
  <c r="E27" i="40"/>
  <c r="F27" i="40"/>
  <c r="H27" i="40"/>
  <c r="I27" i="40"/>
  <c r="B28" i="40"/>
  <c r="C28" i="40"/>
  <c r="E28" i="40"/>
  <c r="F28" i="40"/>
  <c r="H28" i="40"/>
  <c r="I28" i="40"/>
  <c r="B29" i="40"/>
  <c r="C29" i="40"/>
  <c r="E29" i="40"/>
  <c r="F29" i="40"/>
  <c r="H29" i="40"/>
  <c r="I29" i="40"/>
  <c r="B30" i="40"/>
  <c r="C30" i="40"/>
  <c r="E30" i="40"/>
  <c r="F30" i="40"/>
  <c r="H30" i="40"/>
  <c r="I30" i="40"/>
  <c r="I4" i="40"/>
  <c r="H4" i="40"/>
  <c r="F4" i="40"/>
  <c r="E4" i="40"/>
  <c r="C4" i="40"/>
  <c r="B4" i="40"/>
  <c r="T8" i="18"/>
  <c r="U8" i="18"/>
  <c r="T9" i="18"/>
  <c r="U9" i="18"/>
  <c r="T10" i="18"/>
  <c r="U10" i="18"/>
  <c r="T11" i="18"/>
  <c r="U11" i="18"/>
  <c r="T12" i="18"/>
  <c r="U12" i="18"/>
  <c r="T13" i="18"/>
  <c r="U13" i="18"/>
  <c r="T14" i="18"/>
  <c r="U14" i="18"/>
  <c r="T15" i="18"/>
  <c r="U15" i="18"/>
  <c r="T16" i="18"/>
  <c r="U16" i="18"/>
  <c r="T17" i="18"/>
  <c r="U17" i="18"/>
  <c r="T18" i="18"/>
  <c r="U18" i="18"/>
  <c r="T19" i="18"/>
  <c r="U19" i="18"/>
  <c r="T20" i="18"/>
  <c r="U20" i="18"/>
  <c r="T21" i="18"/>
  <c r="U21" i="18"/>
  <c r="T22" i="18"/>
  <c r="U22" i="18"/>
  <c r="T23" i="18"/>
  <c r="U23" i="18"/>
  <c r="T24" i="18"/>
  <c r="U24" i="18"/>
  <c r="T25" i="18"/>
  <c r="U25" i="18"/>
  <c r="T26" i="18"/>
  <c r="U26" i="18"/>
  <c r="T27" i="18"/>
  <c r="U27" i="18"/>
  <c r="T28" i="18"/>
  <c r="U28" i="18"/>
  <c r="T29" i="18"/>
  <c r="U29" i="18"/>
  <c r="T30" i="18"/>
  <c r="U30" i="18"/>
  <c r="T31" i="18"/>
  <c r="U31" i="18"/>
  <c r="T32" i="18"/>
  <c r="U32" i="18"/>
  <c r="T33" i="18"/>
  <c r="U33" i="18"/>
  <c r="T34" i="18"/>
  <c r="U34" i="18"/>
  <c r="T35" i="18"/>
  <c r="U35" i="18"/>
  <c r="T36" i="18"/>
  <c r="U36" i="18"/>
  <c r="T37" i="18"/>
  <c r="U37" i="18"/>
  <c r="T38" i="18"/>
  <c r="U38" i="18"/>
  <c r="T39" i="18"/>
  <c r="U39" i="18"/>
  <c r="T40" i="18"/>
  <c r="U40" i="18"/>
  <c r="T41" i="18"/>
  <c r="U41" i="18"/>
  <c r="T42" i="18"/>
  <c r="U42" i="18"/>
  <c r="T43" i="18"/>
  <c r="U43" i="18"/>
  <c r="T44" i="18"/>
  <c r="U44" i="18"/>
  <c r="T45" i="18"/>
  <c r="U45" i="18"/>
  <c r="T46" i="18"/>
  <c r="U46" i="18"/>
  <c r="U7" i="18"/>
  <c r="T7" i="18"/>
  <c r="E24" i="23"/>
  <c r="D24" i="23"/>
  <c r="G24" i="23" s="1"/>
  <c r="H24" i="23"/>
  <c r="H12" i="23"/>
  <c r="I12" i="23" s="1"/>
  <c r="H30" i="8"/>
  <c r="C29" i="8"/>
  <c r="H29" i="8" s="1"/>
  <c r="H28" i="8"/>
  <c r="S14" i="23"/>
  <c r="T14" i="23" s="1"/>
  <c r="H14" i="23"/>
  <c r="I14" i="23" s="1"/>
  <c r="H16" i="23"/>
  <c r="I16" i="23" s="1"/>
  <c r="H20" i="23"/>
  <c r="I20" i="23" s="1"/>
  <c r="H8" i="23"/>
  <c r="H6" i="23"/>
  <c r="K44" i="15"/>
  <c r="L44" i="15" s="1"/>
  <c r="K45" i="15"/>
  <c r="L45" i="15" s="1"/>
  <c r="K46" i="15"/>
  <c r="L46" i="15" s="1"/>
  <c r="K47" i="15"/>
  <c r="L47" i="15" s="1"/>
  <c r="K8" i="15"/>
  <c r="L8" i="15" s="1"/>
  <c r="AK2" i="40"/>
  <c r="AK27" i="40" s="1"/>
  <c r="C32" i="40"/>
  <c r="D32" i="40" s="1"/>
  <c r="E32" i="40" s="1"/>
  <c r="F32" i="40" s="1"/>
  <c r="G32" i="40" s="1"/>
  <c r="H32" i="40" s="1"/>
  <c r="I32" i="40" s="1"/>
  <c r="J32" i="40" s="1"/>
  <c r="K32" i="40" s="1"/>
  <c r="L32" i="40" s="1"/>
  <c r="M32" i="40" s="1"/>
  <c r="N32" i="40" s="1"/>
  <c r="O32" i="40" s="1"/>
  <c r="P32" i="40" s="1"/>
  <c r="Q32" i="40" s="1"/>
  <c r="R32" i="40" s="1"/>
  <c r="S32" i="40" s="1"/>
  <c r="T32" i="40" s="1"/>
  <c r="U32" i="40" s="1"/>
  <c r="V32" i="40" s="1"/>
  <c r="W32" i="40" s="1"/>
  <c r="X32" i="40" s="1"/>
  <c r="Y32" i="40" s="1"/>
  <c r="Z32" i="40" s="1"/>
  <c r="AA32" i="40" s="1"/>
  <c r="AB32" i="40" s="1"/>
  <c r="AC32" i="40" s="1"/>
  <c r="AD32" i="40" s="1"/>
  <c r="AE32" i="40" s="1"/>
  <c r="AF32" i="40" s="1"/>
  <c r="AG32" i="40" s="1"/>
  <c r="AH32" i="40" s="1"/>
  <c r="C4" i="41"/>
  <c r="D4" i="41"/>
  <c r="E4" i="41"/>
  <c r="F4" i="41"/>
  <c r="G4" i="41"/>
  <c r="H4" i="41"/>
  <c r="C5" i="41"/>
  <c r="D5" i="41"/>
  <c r="E5" i="41"/>
  <c r="F5" i="41"/>
  <c r="G5" i="41"/>
  <c r="H5" i="41"/>
  <c r="C6" i="41"/>
  <c r="D6" i="41"/>
  <c r="E6" i="41"/>
  <c r="F6" i="41"/>
  <c r="G6" i="41"/>
  <c r="H6" i="41"/>
  <c r="C7" i="41"/>
  <c r="D7" i="41"/>
  <c r="E7" i="41"/>
  <c r="F7" i="41"/>
  <c r="G7" i="41"/>
  <c r="H7" i="41"/>
  <c r="C8" i="41"/>
  <c r="D8" i="41"/>
  <c r="E8" i="41"/>
  <c r="F8" i="41"/>
  <c r="G8" i="41"/>
  <c r="H8" i="41"/>
  <c r="C9" i="41"/>
  <c r="D9" i="41"/>
  <c r="E9" i="41"/>
  <c r="F9" i="41"/>
  <c r="G9" i="41"/>
  <c r="H9" i="41"/>
  <c r="C10" i="41"/>
  <c r="D10" i="41"/>
  <c r="E10" i="41"/>
  <c r="F10" i="41"/>
  <c r="G10" i="41"/>
  <c r="H10" i="41"/>
  <c r="C11" i="41"/>
  <c r="D11" i="41"/>
  <c r="E11" i="41"/>
  <c r="F11" i="41"/>
  <c r="G11" i="41"/>
  <c r="H11" i="41"/>
  <c r="C12" i="41"/>
  <c r="D12" i="41"/>
  <c r="E12" i="41"/>
  <c r="F12" i="41"/>
  <c r="G12" i="41"/>
  <c r="H12" i="41"/>
  <c r="C13" i="41"/>
  <c r="D13" i="41"/>
  <c r="E13" i="41"/>
  <c r="F13" i="41"/>
  <c r="G13" i="41"/>
  <c r="H13" i="41"/>
  <c r="C14" i="41"/>
  <c r="D14" i="41"/>
  <c r="E14" i="41"/>
  <c r="F14" i="41"/>
  <c r="G14" i="41"/>
  <c r="H14" i="41"/>
  <c r="C15" i="41"/>
  <c r="D15" i="41"/>
  <c r="E15" i="41"/>
  <c r="F15" i="41"/>
  <c r="G15" i="41"/>
  <c r="H15" i="41"/>
  <c r="C16" i="41"/>
  <c r="D16" i="41"/>
  <c r="E16" i="41"/>
  <c r="F16" i="41"/>
  <c r="G16" i="41"/>
  <c r="H16" i="41"/>
  <c r="C17" i="41"/>
  <c r="D17" i="41"/>
  <c r="E17" i="41"/>
  <c r="F17" i="41"/>
  <c r="G17" i="41"/>
  <c r="H17" i="41"/>
  <c r="C18" i="41"/>
  <c r="D18" i="41"/>
  <c r="E18" i="41"/>
  <c r="F18" i="41"/>
  <c r="G18" i="41"/>
  <c r="H18" i="41"/>
  <c r="H3" i="41"/>
  <c r="G3" i="41"/>
  <c r="F3" i="41"/>
  <c r="E3" i="41"/>
  <c r="D3" i="41"/>
  <c r="C3" i="41"/>
  <c r="I4" i="41"/>
  <c r="D26" i="40" l="1"/>
  <c r="D24" i="40"/>
  <c r="D12" i="40"/>
  <c r="I24" i="23"/>
  <c r="D29" i="40"/>
  <c r="G28" i="40"/>
  <c r="D27" i="40"/>
  <c r="D17" i="40"/>
  <c r="D13" i="40"/>
  <c r="D9" i="40"/>
  <c r="D7" i="40"/>
  <c r="D5" i="40"/>
  <c r="D6" i="40"/>
  <c r="D28" i="40"/>
  <c r="D10" i="40"/>
  <c r="D23" i="40"/>
  <c r="D20" i="40"/>
  <c r="D16" i="40"/>
  <c r="D21" i="40"/>
  <c r="D19" i="40"/>
  <c r="D15" i="40"/>
  <c r="D11" i="40"/>
  <c r="D22" i="40"/>
  <c r="D18" i="40"/>
  <c r="D30" i="40"/>
  <c r="G29" i="40"/>
  <c r="D25" i="40"/>
  <c r="G24" i="40"/>
  <c r="D14" i="40"/>
  <c r="D8" i="40"/>
  <c r="G7" i="40"/>
  <c r="G30" i="40"/>
  <c r="G26" i="40"/>
  <c r="G22" i="40"/>
  <c r="G18" i="40"/>
  <c r="G14" i="40"/>
  <c r="G10" i="40"/>
  <c r="G6" i="40"/>
  <c r="G27" i="40"/>
  <c r="G23" i="40"/>
  <c r="G19" i="40"/>
  <c r="G15" i="40"/>
  <c r="G11" i="40"/>
  <c r="G20" i="40"/>
  <c r="G16" i="40"/>
  <c r="G12" i="40"/>
  <c r="G8" i="40"/>
  <c r="G25" i="40"/>
  <c r="G21" i="40"/>
  <c r="G17" i="40"/>
  <c r="G13" i="40"/>
  <c r="G9" i="40"/>
  <c r="G5" i="40"/>
  <c r="J9" i="41"/>
  <c r="I7" i="41"/>
  <c r="J5" i="41"/>
  <c r="J15" i="41"/>
  <c r="J17" i="41"/>
  <c r="J13" i="41"/>
  <c r="J11" i="41"/>
  <c r="J7" i="41"/>
  <c r="I8" i="41"/>
  <c r="I11" i="41"/>
  <c r="I12" i="41"/>
  <c r="I16" i="41"/>
  <c r="I15" i="41"/>
  <c r="I9" i="41"/>
  <c r="I5" i="41"/>
  <c r="I13" i="41"/>
  <c r="I14" i="41"/>
  <c r="I10" i="41"/>
  <c r="I6" i="41"/>
  <c r="I18" i="41"/>
  <c r="J18" i="41"/>
  <c r="J16" i="41"/>
  <c r="J14" i="41"/>
  <c r="J12" i="41"/>
  <c r="J10" i="41"/>
  <c r="J8" i="41"/>
  <c r="J6" i="41"/>
  <c r="J4" i="41"/>
  <c r="I17" i="41"/>
  <c r="J3" i="41"/>
  <c r="I3" i="41"/>
  <c r="D19" i="41"/>
  <c r="C19" i="41"/>
  <c r="F19" i="41" l="1"/>
  <c r="E19" i="41"/>
  <c r="I19" i="41" l="1"/>
  <c r="J19" i="41"/>
  <c r="G19" i="41"/>
  <c r="H19" i="41"/>
  <c r="Z5" i="40"/>
  <c r="AA5" i="40"/>
  <c r="AB5" i="40"/>
  <c r="Z6" i="40"/>
  <c r="AA6" i="40"/>
  <c r="AB6" i="40"/>
  <c r="Z7" i="40"/>
  <c r="AA7" i="40"/>
  <c r="AB7" i="40"/>
  <c r="Z8" i="40"/>
  <c r="AA8" i="40"/>
  <c r="AB8" i="40"/>
  <c r="Z9" i="40"/>
  <c r="AA9" i="40"/>
  <c r="AB9" i="40"/>
  <c r="Z10" i="40"/>
  <c r="AA10" i="40"/>
  <c r="AB10" i="40"/>
  <c r="Z11" i="40"/>
  <c r="AA11" i="40"/>
  <c r="AB11" i="40"/>
  <c r="Z12" i="40"/>
  <c r="AA12" i="40"/>
  <c r="AB12" i="40"/>
  <c r="Z13" i="40"/>
  <c r="AA13" i="40"/>
  <c r="AB13" i="40"/>
  <c r="Z14" i="40"/>
  <c r="AA14" i="40"/>
  <c r="AB14" i="40"/>
  <c r="Z15" i="40"/>
  <c r="AA15" i="40"/>
  <c r="AB15" i="40"/>
  <c r="Z16" i="40"/>
  <c r="AA16" i="40"/>
  <c r="AB16" i="40"/>
  <c r="Z17" i="40"/>
  <c r="AA17" i="40"/>
  <c r="AB17" i="40"/>
  <c r="Z18" i="40"/>
  <c r="AA18" i="40"/>
  <c r="AB18" i="40"/>
  <c r="Z19" i="40"/>
  <c r="AA19" i="40"/>
  <c r="AB19" i="40"/>
  <c r="Z20" i="40"/>
  <c r="AA20" i="40"/>
  <c r="AB20" i="40"/>
  <c r="Z21" i="40"/>
  <c r="AA21" i="40"/>
  <c r="AB21" i="40"/>
  <c r="Z22" i="40"/>
  <c r="AA22" i="40"/>
  <c r="AB22" i="40"/>
  <c r="Z23" i="40"/>
  <c r="AA23" i="40"/>
  <c r="AB23" i="40"/>
  <c r="Z24" i="40"/>
  <c r="AA24" i="40"/>
  <c r="AB24" i="40"/>
  <c r="Z25" i="40"/>
  <c r="AA25" i="40"/>
  <c r="AB25" i="40"/>
  <c r="Z26" i="40"/>
  <c r="AA26" i="40"/>
  <c r="AB26" i="40"/>
  <c r="Z27" i="40"/>
  <c r="AA27" i="40"/>
  <c r="AB27" i="40"/>
  <c r="Z28" i="40"/>
  <c r="AA28" i="40"/>
  <c r="AB28" i="40"/>
  <c r="Z29" i="40"/>
  <c r="AA29" i="40"/>
  <c r="AB29" i="40"/>
  <c r="AK24" i="40" s="1"/>
  <c r="Z30" i="40"/>
  <c r="AA30" i="40"/>
  <c r="AB30" i="40"/>
  <c r="AA4" i="40"/>
  <c r="AB4" i="40"/>
  <c r="Z4" i="40"/>
  <c r="Y5" i="40"/>
  <c r="Y6" i="40"/>
  <c r="Y7" i="40"/>
  <c r="Y8" i="40"/>
  <c r="Y9" i="40"/>
  <c r="Y10" i="40"/>
  <c r="Y11" i="40"/>
  <c r="Y12" i="40"/>
  <c r="Y13" i="40"/>
  <c r="Y14" i="40"/>
  <c r="Y15" i="40"/>
  <c r="Y16" i="40"/>
  <c r="Y17" i="40"/>
  <c r="Y18" i="40"/>
  <c r="Y19" i="40"/>
  <c r="Y20" i="40"/>
  <c r="Y21" i="40"/>
  <c r="Y22" i="40"/>
  <c r="Y23" i="40"/>
  <c r="Y24" i="40"/>
  <c r="Y25" i="40"/>
  <c r="Y26" i="40"/>
  <c r="Y27" i="40"/>
  <c r="Y28" i="40"/>
  <c r="Y29" i="40"/>
  <c r="Y30" i="40"/>
  <c r="Y4" i="40"/>
  <c r="X5" i="40"/>
  <c r="X6" i="40"/>
  <c r="X7" i="40"/>
  <c r="X8" i="40"/>
  <c r="X9" i="40"/>
  <c r="X10" i="40"/>
  <c r="X11" i="40"/>
  <c r="X12" i="40"/>
  <c r="X13" i="40"/>
  <c r="X14" i="40"/>
  <c r="X15" i="40"/>
  <c r="X16" i="40"/>
  <c r="X17" i="40"/>
  <c r="X18" i="40"/>
  <c r="X19" i="40"/>
  <c r="X20" i="40"/>
  <c r="X21" i="40"/>
  <c r="X22" i="40"/>
  <c r="X23" i="40"/>
  <c r="X24" i="40"/>
  <c r="X25" i="40"/>
  <c r="X26" i="40"/>
  <c r="X27" i="40"/>
  <c r="X28" i="40"/>
  <c r="X29" i="40"/>
  <c r="X30" i="40"/>
  <c r="X4" i="40"/>
  <c r="W5" i="40"/>
  <c r="W6" i="40"/>
  <c r="W7" i="40"/>
  <c r="W8" i="40"/>
  <c r="W9" i="40"/>
  <c r="W10" i="40"/>
  <c r="W11" i="40"/>
  <c r="W12" i="40"/>
  <c r="W13" i="40"/>
  <c r="W14" i="40"/>
  <c r="W15" i="40"/>
  <c r="W16" i="40"/>
  <c r="W17" i="40"/>
  <c r="W18" i="40"/>
  <c r="W19" i="40"/>
  <c r="W20" i="40"/>
  <c r="W21" i="40"/>
  <c r="W22" i="40"/>
  <c r="W23" i="40"/>
  <c r="W24" i="40"/>
  <c r="W25" i="40"/>
  <c r="W26" i="40"/>
  <c r="W27" i="40"/>
  <c r="W28" i="40"/>
  <c r="W29" i="40"/>
  <c r="W30" i="40"/>
  <c r="W4" i="40"/>
  <c r="U24" i="40"/>
  <c r="U5" i="40"/>
  <c r="U6" i="40"/>
  <c r="U7" i="40"/>
  <c r="U8" i="40"/>
  <c r="U9" i="40"/>
  <c r="U10" i="40"/>
  <c r="U11" i="40"/>
  <c r="U12" i="40"/>
  <c r="U13" i="40"/>
  <c r="U14" i="40"/>
  <c r="U15" i="40"/>
  <c r="U16" i="40"/>
  <c r="U17" i="40"/>
  <c r="U18" i="40"/>
  <c r="U19" i="40"/>
  <c r="U20" i="40"/>
  <c r="U21" i="40"/>
  <c r="U22" i="40"/>
  <c r="U23" i="40"/>
  <c r="U25" i="40"/>
  <c r="U26" i="40"/>
  <c r="U27" i="40"/>
  <c r="U28" i="40"/>
  <c r="U29" i="40"/>
  <c r="U30" i="40"/>
  <c r="U4" i="40"/>
  <c r="S18" i="40"/>
  <c r="S22" i="40"/>
  <c r="S28" i="40"/>
  <c r="S30" i="40"/>
  <c r="S9" i="40"/>
  <c r="M13" i="40"/>
  <c r="M7" i="40"/>
  <c r="M20" i="40"/>
  <c r="M25" i="40"/>
  <c r="M28" i="40"/>
  <c r="M30" i="40"/>
  <c r="M4" i="40"/>
  <c r="AK20" i="40" l="1"/>
  <c r="AK22" i="40"/>
  <c r="AK21" i="40"/>
  <c r="H84" i="39" s="1"/>
  <c r="AK23" i="40"/>
  <c r="H86" i="39" s="1"/>
  <c r="K3" i="41"/>
  <c r="K5" i="41"/>
  <c r="K18" i="41"/>
  <c r="K10" i="41"/>
  <c r="K16" i="41"/>
  <c r="K4" i="41"/>
  <c r="K12" i="41"/>
  <c r="K13" i="41"/>
  <c r="K6" i="41"/>
  <c r="K8" i="41"/>
  <c r="K17" i="41"/>
  <c r="K9" i="41"/>
  <c r="K7" i="41"/>
  <c r="K11" i="41"/>
  <c r="K14" i="41"/>
  <c r="K15" i="41"/>
  <c r="K19" i="41" l="1"/>
  <c r="P9" i="40" l="1"/>
  <c r="P28" i="40"/>
  <c r="Q28" i="40" s="1"/>
  <c r="R28" i="40" s="1"/>
  <c r="P29" i="40"/>
  <c r="P6" i="40"/>
  <c r="Q6" i="40" s="1"/>
  <c r="P20" i="40"/>
  <c r="Q20" i="40" s="1"/>
  <c r="R20" i="40" s="1"/>
  <c r="P23" i="40"/>
  <c r="Q23" i="40" s="1"/>
  <c r="P22" i="40"/>
  <c r="Q22" i="40" s="1"/>
  <c r="P15" i="40"/>
  <c r="Q15" i="40" s="1"/>
  <c r="P5" i="40"/>
  <c r="Q5" i="40" s="1"/>
  <c r="P12" i="40"/>
  <c r="Q12" i="40" s="1"/>
  <c r="R12" i="40" s="1"/>
  <c r="P17" i="40"/>
  <c r="P27" i="40"/>
  <c r="Q27" i="40" s="1"/>
  <c r="P19" i="40"/>
  <c r="Q19" i="40" s="1"/>
  <c r="P14" i="40"/>
  <c r="Q14" i="40" s="1"/>
  <c r="P10" i="40"/>
  <c r="Q10" i="40" s="1"/>
  <c r="P8" i="40"/>
  <c r="Q8" i="40" s="1"/>
  <c r="R8" i="40" s="1"/>
  <c r="P7" i="40"/>
  <c r="Q7" i="40" s="1"/>
  <c r="P30" i="40"/>
  <c r="Q30" i="40" s="1"/>
  <c r="P11" i="40"/>
  <c r="Q11" i="40" s="1"/>
  <c r="P16" i="40"/>
  <c r="Q16" i="40" s="1"/>
  <c r="R16" i="40" s="1"/>
  <c r="P4" i="40"/>
  <c r="P18" i="40"/>
  <c r="Q18" i="40" s="1"/>
  <c r="P26" i="40"/>
  <c r="Q26" i="40" s="1"/>
  <c r="P13" i="40"/>
  <c r="P21" i="40"/>
  <c r="Q21" i="40" s="1"/>
  <c r="P25" i="40"/>
  <c r="P24" i="40"/>
  <c r="Q24" i="40" s="1"/>
  <c r="R24" i="40" s="1"/>
  <c r="N13" i="40" l="1"/>
  <c r="N28" i="40"/>
  <c r="Q25" i="40"/>
  <c r="R25" i="40" s="1"/>
  <c r="Q13" i="40"/>
  <c r="R13" i="40" s="1"/>
  <c r="R18" i="40"/>
  <c r="R30" i="40"/>
  <c r="R14" i="40"/>
  <c r="R27" i="40"/>
  <c r="R15" i="40"/>
  <c r="R23" i="40"/>
  <c r="R6" i="40"/>
  <c r="N20" i="40"/>
  <c r="Q4" i="40"/>
  <c r="R4" i="40" s="1"/>
  <c r="R21" i="40"/>
  <c r="R26" i="40"/>
  <c r="R11" i="40"/>
  <c r="R7" i="40"/>
  <c r="R10" i="40"/>
  <c r="R19" i="40"/>
  <c r="Q17" i="40"/>
  <c r="R17" i="40" s="1"/>
  <c r="R5" i="40"/>
  <c r="R22" i="40"/>
  <c r="Q29" i="40"/>
  <c r="R29" i="40" s="1"/>
  <c r="Q9" i="40"/>
  <c r="R9" i="40" s="1"/>
  <c r="N4" i="40" l="1"/>
  <c r="N7" i="40"/>
  <c r="N30" i="40"/>
  <c r="N25" i="40"/>
  <c r="L26" i="40" l="1"/>
  <c r="L16" i="40"/>
  <c r="L23" i="40" l="1"/>
  <c r="L21" i="40"/>
  <c r="L10" i="40"/>
  <c r="L13" i="40"/>
  <c r="L4" i="40"/>
  <c r="L20" i="40"/>
  <c r="L12" i="40"/>
  <c r="L25" i="40"/>
  <c r="L6" i="40"/>
  <c r="L7" i="40"/>
  <c r="L30" i="40"/>
  <c r="L15" i="40"/>
  <c r="L22" i="40"/>
  <c r="L11" i="40"/>
  <c r="L9" i="40"/>
  <c r="L28" i="40"/>
  <c r="L18" i="40"/>
  <c r="L8" i="40"/>
  <c r="L14" i="40"/>
  <c r="L19" i="40"/>
  <c r="L17" i="40"/>
  <c r="L5" i="40"/>
  <c r="L24" i="40"/>
  <c r="L27" i="40"/>
  <c r="L29" i="40"/>
  <c r="AK10" i="40" l="1"/>
  <c r="AF4" i="40"/>
  <c r="AF5" i="40"/>
  <c r="AF6" i="40"/>
  <c r="AF7" i="40"/>
  <c r="AF8" i="40"/>
  <c r="AF9" i="40"/>
  <c r="AF10" i="40"/>
  <c r="AF11" i="40"/>
  <c r="AF12" i="40"/>
  <c r="AF13" i="40"/>
  <c r="AF14" i="40"/>
  <c r="AN9" i="40" s="1"/>
  <c r="AF15" i="40"/>
  <c r="AF16" i="40"/>
  <c r="AF17" i="40"/>
  <c r="AF18" i="40"/>
  <c r="AF19" i="40"/>
  <c r="AF20" i="40"/>
  <c r="AF21" i="40"/>
  <c r="AF23" i="40"/>
  <c r="AF24" i="40"/>
  <c r="AF25" i="40"/>
  <c r="AF26" i="40"/>
  <c r="AF27" i="40"/>
  <c r="AF28" i="40"/>
  <c r="AF29" i="40"/>
  <c r="AN7" i="40"/>
  <c r="AK16" i="40"/>
  <c r="AN3" i="40"/>
  <c r="U33" i="15" s="1"/>
  <c r="I32" i="8" s="1"/>
  <c r="I30" i="8" s="1"/>
  <c r="AN5" i="40"/>
  <c r="AK15" i="40"/>
  <c r="AK19" i="40"/>
  <c r="AN8" i="40"/>
  <c r="AF30" i="40"/>
  <c r="I27" i="8" l="1"/>
  <c r="J32" i="8"/>
  <c r="V33" i="15"/>
  <c r="B50" i="8"/>
  <c r="I23" i="8"/>
  <c r="J23" i="8" s="1"/>
  <c r="K15" i="8"/>
  <c r="J15" i="8"/>
  <c r="G4" i="40"/>
  <c r="AK7" i="40"/>
  <c r="AK12" i="40"/>
  <c r="I17" i="8" s="1"/>
  <c r="AK11" i="40"/>
  <c r="AK13" i="40"/>
  <c r="I18" i="8" s="1"/>
  <c r="AK8" i="40"/>
  <c r="I13" i="8" s="1"/>
  <c r="J6" i="40"/>
  <c r="K6" i="40" s="1"/>
  <c r="J24" i="40"/>
  <c r="K24" i="40" s="1"/>
  <c r="J8" i="40"/>
  <c r="K8" i="40" s="1"/>
  <c r="J11" i="40"/>
  <c r="K11" i="40" s="1"/>
  <c r="J25" i="40"/>
  <c r="K25" i="40" s="1"/>
  <c r="J22" i="40"/>
  <c r="K22" i="40" s="1"/>
  <c r="J9" i="40"/>
  <c r="K9" i="40" s="1"/>
  <c r="D4" i="40"/>
  <c r="J29" i="40"/>
  <c r="K29" i="40" s="1"/>
  <c r="J23" i="40"/>
  <c r="K23" i="40" s="1"/>
  <c r="J17" i="40"/>
  <c r="K17" i="40" s="1"/>
  <c r="J7" i="40"/>
  <c r="K7" i="40" s="1"/>
  <c r="J5" i="40"/>
  <c r="K5" i="40" s="1"/>
  <c r="J27" i="40"/>
  <c r="K27" i="40" s="1"/>
  <c r="J19" i="40"/>
  <c r="K19" i="40" s="1"/>
  <c r="J18" i="40"/>
  <c r="K18" i="40" s="1"/>
  <c r="J16" i="40"/>
  <c r="K16" i="40" s="1"/>
  <c r="J15" i="40"/>
  <c r="K15" i="40" s="1"/>
  <c r="J13" i="40"/>
  <c r="K13" i="40" s="1"/>
  <c r="J12" i="40"/>
  <c r="K12" i="40" s="1"/>
  <c r="J10" i="40"/>
  <c r="K10" i="40" s="1"/>
  <c r="J21" i="40"/>
  <c r="K21" i="40" s="1"/>
  <c r="J20" i="40"/>
  <c r="K20" i="40" s="1"/>
  <c r="AN4" i="40"/>
  <c r="J30" i="40"/>
  <c r="K30" i="40" s="1"/>
  <c r="J4" i="40" l="1"/>
  <c r="K4" i="40" s="1"/>
  <c r="K23" i="8"/>
  <c r="K13" i="8"/>
  <c r="J13" i="8"/>
  <c r="K17" i="8"/>
  <c r="J17" i="8"/>
  <c r="J18" i="8"/>
  <c r="K18" i="8"/>
  <c r="I11" i="8"/>
  <c r="J12" i="8"/>
  <c r="K12" i="8"/>
  <c r="AK9" i="40"/>
  <c r="AK6" i="40"/>
  <c r="J28" i="40"/>
  <c r="K28" i="40" s="1"/>
  <c r="J26" i="40"/>
  <c r="K26" i="40" s="1"/>
  <c r="J14" i="40"/>
  <c r="K14" i="40" s="1"/>
  <c r="AK5" i="40" l="1"/>
  <c r="AK4" i="40" s="1"/>
  <c r="AK3" i="40" s="1"/>
  <c r="J16" i="8"/>
  <c r="K16" i="8"/>
  <c r="I14" i="8"/>
  <c r="F47" i="18"/>
  <c r="G47" i="18"/>
  <c r="H47" i="18"/>
  <c r="I47" i="18"/>
  <c r="K47" i="18"/>
  <c r="L47" i="18"/>
  <c r="M47" i="18"/>
  <c r="O47" i="18"/>
  <c r="E47" i="18"/>
  <c r="S5" i="23" s="1"/>
  <c r="N42" i="18"/>
  <c r="P42" i="18" s="1"/>
  <c r="N43" i="18"/>
  <c r="P43" i="18" s="1"/>
  <c r="N44" i="18"/>
  <c r="P44" i="18" s="1"/>
  <c r="N45" i="18"/>
  <c r="P45" i="18" s="1"/>
  <c r="N46" i="18"/>
  <c r="P46" i="18" s="1"/>
  <c r="A42" i="18"/>
  <c r="B42" i="18"/>
  <c r="C42" i="18"/>
  <c r="A43" i="18"/>
  <c r="B43" i="18"/>
  <c r="C43" i="18"/>
  <c r="A44" i="18"/>
  <c r="B44" i="18"/>
  <c r="C44" i="18"/>
  <c r="A45" i="18"/>
  <c r="B45" i="18"/>
  <c r="C45" i="18"/>
  <c r="A46" i="18"/>
  <c r="B46" i="18"/>
  <c r="C46" i="18"/>
  <c r="P6" i="23"/>
  <c r="P14" i="23"/>
  <c r="N15" i="23"/>
  <c r="R15" i="23" s="1"/>
  <c r="N12" i="23"/>
  <c r="R12" i="23" s="1"/>
  <c r="D11" i="8"/>
  <c r="B52" i="8"/>
  <c r="B55" i="8" s="1"/>
  <c r="I48" i="15"/>
  <c r="H48" i="15"/>
  <c r="S15" i="23" l="1"/>
  <c r="J11" i="8"/>
  <c r="J20" i="41"/>
  <c r="J21" i="41" s="1"/>
  <c r="K11" i="8"/>
  <c r="I10" i="8"/>
  <c r="S12" i="23"/>
  <c r="R44" i="18"/>
  <c r="R43" i="18"/>
  <c r="R45" i="18"/>
  <c r="R46" i="18"/>
  <c r="R42" i="18"/>
  <c r="A8" i="18"/>
  <c r="B8" i="18"/>
  <c r="C8" i="18"/>
  <c r="A9" i="18"/>
  <c r="B9" i="18"/>
  <c r="C9" i="18"/>
  <c r="A10" i="18"/>
  <c r="B10" i="18"/>
  <c r="C10" i="18"/>
  <c r="A11" i="18"/>
  <c r="B11" i="18"/>
  <c r="C11" i="18"/>
  <c r="A12" i="18"/>
  <c r="B12" i="18"/>
  <c r="C12" i="18"/>
  <c r="A13" i="18"/>
  <c r="B13" i="18"/>
  <c r="C13" i="18"/>
  <c r="A14" i="18"/>
  <c r="B14" i="18"/>
  <c r="C14" i="18"/>
  <c r="A15" i="18"/>
  <c r="B15" i="18"/>
  <c r="C15" i="18"/>
  <c r="A16" i="18"/>
  <c r="B16" i="18"/>
  <c r="C16" i="18"/>
  <c r="A17" i="18"/>
  <c r="B17" i="18"/>
  <c r="C17" i="18"/>
  <c r="A18" i="18"/>
  <c r="B18" i="18"/>
  <c r="C18" i="18"/>
  <c r="A19" i="18"/>
  <c r="B19" i="18"/>
  <c r="C19" i="18"/>
  <c r="A20" i="18"/>
  <c r="B20" i="18"/>
  <c r="C20" i="18"/>
  <c r="A21" i="18"/>
  <c r="B21" i="18"/>
  <c r="C21" i="18"/>
  <c r="A22" i="18"/>
  <c r="B22" i="18"/>
  <c r="C22" i="18"/>
  <c r="A23" i="18"/>
  <c r="B23" i="18"/>
  <c r="C23" i="18"/>
  <c r="A24" i="18"/>
  <c r="B24" i="18"/>
  <c r="C24" i="18"/>
  <c r="A25" i="18"/>
  <c r="B25" i="18"/>
  <c r="C25" i="18"/>
  <c r="A26" i="18"/>
  <c r="B26" i="18"/>
  <c r="C26" i="18"/>
  <c r="A27" i="18"/>
  <c r="B27" i="18"/>
  <c r="C27" i="18"/>
  <c r="A28" i="18"/>
  <c r="B28" i="18"/>
  <c r="C28" i="18"/>
  <c r="A29" i="18"/>
  <c r="B29" i="18"/>
  <c r="C29" i="18"/>
  <c r="A30" i="18"/>
  <c r="B30" i="18"/>
  <c r="C30" i="18"/>
  <c r="A31" i="18"/>
  <c r="B31" i="18"/>
  <c r="C31" i="18"/>
  <c r="A32" i="18"/>
  <c r="B32" i="18"/>
  <c r="C32" i="18"/>
  <c r="A33" i="18"/>
  <c r="B33" i="18"/>
  <c r="C33" i="18"/>
  <c r="A34" i="18"/>
  <c r="B34" i="18"/>
  <c r="C34" i="18"/>
  <c r="A35" i="18"/>
  <c r="B35" i="18"/>
  <c r="C35" i="18"/>
  <c r="A36" i="18"/>
  <c r="B36" i="18"/>
  <c r="C36" i="18"/>
  <c r="A37" i="18"/>
  <c r="B37" i="18"/>
  <c r="C37" i="18"/>
  <c r="A38" i="18"/>
  <c r="B38" i="18"/>
  <c r="C38" i="18"/>
  <c r="A39" i="18"/>
  <c r="B39" i="18"/>
  <c r="C39" i="18"/>
  <c r="A40" i="18"/>
  <c r="B40" i="18"/>
  <c r="C40" i="18"/>
  <c r="A41" i="18"/>
  <c r="B41" i="18"/>
  <c r="C41" i="18"/>
  <c r="K25" i="15"/>
  <c r="L25" i="15" s="1"/>
  <c r="K26" i="15"/>
  <c r="L26" i="15" s="1"/>
  <c r="K27" i="15"/>
  <c r="L27" i="15" s="1"/>
  <c r="K28" i="15"/>
  <c r="L28" i="15" s="1"/>
  <c r="K29" i="15"/>
  <c r="L29" i="15" s="1"/>
  <c r="K30" i="15"/>
  <c r="L30" i="15" s="1"/>
  <c r="K31" i="15"/>
  <c r="L31" i="15" s="1"/>
  <c r="K32" i="15"/>
  <c r="L32" i="15" s="1"/>
  <c r="K33" i="15"/>
  <c r="L33" i="15" s="1"/>
  <c r="K34" i="15"/>
  <c r="L34" i="15" s="1"/>
  <c r="K35" i="15"/>
  <c r="L35" i="15" s="1"/>
  <c r="K36" i="15"/>
  <c r="L36" i="15" s="1"/>
  <c r="K37" i="15"/>
  <c r="L37" i="15" s="1"/>
  <c r="K38" i="15"/>
  <c r="L38" i="15" s="1"/>
  <c r="K39" i="15"/>
  <c r="L39" i="15" s="1"/>
  <c r="K40" i="15"/>
  <c r="L40" i="15" s="1"/>
  <c r="K41" i="15"/>
  <c r="L41" i="15" s="1"/>
  <c r="K42" i="15"/>
  <c r="L42" i="15" s="1"/>
  <c r="K43" i="15"/>
  <c r="L43" i="15" s="1"/>
  <c r="N25" i="18"/>
  <c r="P25" i="18" s="1"/>
  <c r="N26" i="18"/>
  <c r="P26" i="18" s="1"/>
  <c r="N27" i="18"/>
  <c r="P27" i="18" s="1"/>
  <c r="N28" i="18"/>
  <c r="P28" i="18" s="1"/>
  <c r="N29" i="18"/>
  <c r="P29" i="18" s="1"/>
  <c r="N30" i="18"/>
  <c r="P30" i="18" s="1"/>
  <c r="N31" i="18"/>
  <c r="P31" i="18" s="1"/>
  <c r="N32" i="18"/>
  <c r="P32" i="18" s="1"/>
  <c r="N33" i="18"/>
  <c r="P33" i="18" s="1"/>
  <c r="N34" i="18"/>
  <c r="P34" i="18" s="1"/>
  <c r="N35" i="18"/>
  <c r="P35" i="18" s="1"/>
  <c r="N36" i="18"/>
  <c r="P36" i="18" s="1"/>
  <c r="N37" i="18"/>
  <c r="P37" i="18" s="1"/>
  <c r="N38" i="18"/>
  <c r="P38" i="18" s="1"/>
  <c r="N39" i="18"/>
  <c r="P39" i="18" s="1"/>
  <c r="N40" i="18"/>
  <c r="P40" i="18" s="1"/>
  <c r="N41" i="18"/>
  <c r="P41" i="18" s="1"/>
  <c r="I9" i="8" l="1"/>
  <c r="R41" i="18"/>
  <c r="R37" i="18"/>
  <c r="R32" i="18"/>
  <c r="R40" i="18"/>
  <c r="R36" i="18"/>
  <c r="R28" i="18"/>
  <c r="R39" i="18"/>
  <c r="R35" i="18"/>
  <c r="R31" i="18"/>
  <c r="R27" i="18"/>
  <c r="R26" i="18"/>
  <c r="R38" i="18"/>
  <c r="R30" i="18"/>
  <c r="R29" i="18"/>
  <c r="R25" i="18"/>
  <c r="C7" i="18" l="1"/>
  <c r="C47" i="18" s="1"/>
  <c r="B7" i="18"/>
  <c r="A7" i="18"/>
  <c r="E8" i="23"/>
  <c r="I8" i="23" s="1"/>
  <c r="D8" i="23"/>
  <c r="G8" i="23" s="1"/>
  <c r="E6" i="23"/>
  <c r="I6" i="23" s="1"/>
  <c r="D6" i="23"/>
  <c r="G6" i="23" s="1"/>
  <c r="D30" i="8"/>
  <c r="J30" i="8" s="1"/>
  <c r="D29" i="8"/>
  <c r="D28" i="8"/>
  <c r="J28" i="8" s="1"/>
  <c r="E12" i="8"/>
  <c r="F12" i="8" s="1"/>
  <c r="E13" i="8"/>
  <c r="F13" i="8" s="1"/>
  <c r="E15" i="8"/>
  <c r="F15" i="8" s="1"/>
  <c r="E16" i="8"/>
  <c r="F16" i="8" s="1"/>
  <c r="E17" i="8"/>
  <c r="F17" i="8" s="1"/>
  <c r="E18" i="8"/>
  <c r="F18" i="8" s="1"/>
  <c r="E19" i="8"/>
  <c r="F19" i="8" s="1"/>
  <c r="E20" i="8"/>
  <c r="F20" i="8" s="1"/>
  <c r="E21" i="8"/>
  <c r="F21" i="8" s="1"/>
  <c r="E23" i="8"/>
  <c r="F23" i="8" s="1"/>
  <c r="E24" i="8"/>
  <c r="F24" i="8" s="1"/>
  <c r="D22" i="8"/>
  <c r="C41" i="8" s="1"/>
  <c r="D14" i="8"/>
  <c r="D10" i="8" s="1"/>
  <c r="R33" i="18"/>
  <c r="K10" i="8" l="1"/>
  <c r="J14" i="8"/>
  <c r="K14" i="8"/>
  <c r="F41" i="8"/>
  <c r="G41" i="8" s="1"/>
  <c r="D27" i="8"/>
  <c r="D34" i="8" l="1"/>
  <c r="J27" i="8"/>
  <c r="D9" i="8"/>
  <c r="J9" i="8" s="1"/>
  <c r="J10" i="8"/>
  <c r="C22" i="8"/>
  <c r="C14" i="8"/>
  <c r="E14" i="8" l="1"/>
  <c r="F14" i="8" s="1"/>
  <c r="H14" i="8"/>
  <c r="E22" i="8"/>
  <c r="F22" i="8" s="1"/>
  <c r="H22" i="8"/>
  <c r="K9" i="8"/>
  <c r="E5" i="23"/>
  <c r="H5" i="23"/>
  <c r="D8" i="8"/>
  <c r="S7" i="23" s="1"/>
  <c r="O5" i="23"/>
  <c r="T5" i="23" s="1"/>
  <c r="K22" i="15"/>
  <c r="L22" i="15" s="1"/>
  <c r="L9" i="15"/>
  <c r="K10" i="15"/>
  <c r="L10" i="15" s="1"/>
  <c r="K15" i="15"/>
  <c r="L15" i="15" s="1"/>
  <c r="K16" i="15"/>
  <c r="L16" i="15" s="1"/>
  <c r="K23" i="15"/>
  <c r="L23" i="15" s="1"/>
  <c r="K24" i="15"/>
  <c r="L24" i="15" s="1"/>
  <c r="H7" i="23" l="1"/>
  <c r="I5" i="23"/>
  <c r="S13" i="23"/>
  <c r="H78" i="39"/>
  <c r="O7" i="23"/>
  <c r="H80" i="39" s="1"/>
  <c r="P5" i="23"/>
  <c r="O15" i="23"/>
  <c r="O12" i="23"/>
  <c r="T12" i="23" s="1"/>
  <c r="C40" i="8"/>
  <c r="B45" i="8"/>
  <c r="K21" i="15"/>
  <c r="L21" i="15" s="1"/>
  <c r="K20" i="15"/>
  <c r="L20" i="15" s="1"/>
  <c r="K14" i="15"/>
  <c r="L14" i="15" s="1"/>
  <c r="K13" i="15"/>
  <c r="L13" i="15" s="1"/>
  <c r="K12" i="15"/>
  <c r="L12" i="15" s="1"/>
  <c r="K19" i="15"/>
  <c r="L19" i="15" s="1"/>
  <c r="K11" i="15"/>
  <c r="L11" i="15" s="1"/>
  <c r="K18" i="15"/>
  <c r="L18" i="15" s="1"/>
  <c r="K17" i="15"/>
  <c r="L17" i="15" s="1"/>
  <c r="H9" i="23" l="1"/>
  <c r="P15" i="23"/>
  <c r="T15" i="23"/>
  <c r="T7" i="23"/>
  <c r="P12" i="23"/>
  <c r="O13" i="23"/>
  <c r="T13" i="23" s="1"/>
  <c r="K48" i="15"/>
  <c r="L48" i="15" s="1"/>
  <c r="F24" i="23"/>
  <c r="F22" i="23"/>
  <c r="F20" i="23"/>
  <c r="F18" i="23"/>
  <c r="F16" i="23"/>
  <c r="F14" i="23"/>
  <c r="F12" i="23"/>
  <c r="C46" i="8"/>
  <c r="E31" i="8"/>
  <c r="F31" i="8" s="1"/>
  <c r="E32" i="8"/>
  <c r="E33" i="8"/>
  <c r="H19" i="23" l="1"/>
  <c r="H23" i="23"/>
  <c r="H15" i="23"/>
  <c r="H17" i="23"/>
  <c r="H13" i="23"/>
  <c r="H25" i="23"/>
  <c r="H21" i="23"/>
  <c r="B53" i="8"/>
  <c r="B54" i="8"/>
  <c r="F8" i="23"/>
  <c r="F6" i="23"/>
  <c r="N24" i="18" l="1"/>
  <c r="P24" i="18" s="1"/>
  <c r="R24" i="18" s="1"/>
  <c r="N23" i="18"/>
  <c r="P23" i="18" s="1"/>
  <c r="R23" i="18" s="1"/>
  <c r="N22" i="18"/>
  <c r="P22" i="18" s="1"/>
  <c r="R22" i="18" s="1"/>
  <c r="N21" i="18"/>
  <c r="P21" i="18" s="1"/>
  <c r="R21" i="18" s="1"/>
  <c r="N20" i="18"/>
  <c r="P20" i="18" s="1"/>
  <c r="R20" i="18" s="1"/>
  <c r="N19" i="18"/>
  <c r="P19" i="18" s="1"/>
  <c r="R19" i="18" s="1"/>
  <c r="N18" i="18"/>
  <c r="P18" i="18" s="1"/>
  <c r="R18" i="18" s="1"/>
  <c r="N17" i="18"/>
  <c r="P17" i="18" s="1"/>
  <c r="R17" i="18" s="1"/>
  <c r="N16" i="18"/>
  <c r="P16" i="18" s="1"/>
  <c r="R16" i="18" s="1"/>
  <c r="N15" i="18"/>
  <c r="P15" i="18" s="1"/>
  <c r="R15" i="18" s="1"/>
  <c r="N14" i="18"/>
  <c r="P14" i="18" s="1"/>
  <c r="R14" i="18" s="1"/>
  <c r="N13" i="18"/>
  <c r="P13" i="18" s="1"/>
  <c r="R13" i="18" s="1"/>
  <c r="N12" i="18"/>
  <c r="P12" i="18" s="1"/>
  <c r="R12" i="18" s="1"/>
  <c r="N11" i="18"/>
  <c r="P11" i="18" s="1"/>
  <c r="R11" i="18" s="1"/>
  <c r="N10" i="18"/>
  <c r="P10" i="18" s="1"/>
  <c r="R10" i="18" s="1"/>
  <c r="N9" i="18"/>
  <c r="P9" i="18" s="1"/>
  <c r="R9" i="18" s="1"/>
  <c r="N8" i="18"/>
  <c r="P8" i="18" s="1"/>
  <c r="R8" i="18" s="1"/>
  <c r="N7" i="18"/>
  <c r="F33" i="8"/>
  <c r="F32" i="8"/>
  <c r="C27" i="8"/>
  <c r="H27" i="8" s="1"/>
  <c r="B41" i="8"/>
  <c r="D41" i="8" s="1"/>
  <c r="C11" i="8"/>
  <c r="E11" i="8" l="1"/>
  <c r="F11" i="8" s="1"/>
  <c r="H11" i="8"/>
  <c r="C34" i="8"/>
  <c r="N47" i="18"/>
  <c r="F40" i="8" s="1"/>
  <c r="P7" i="18"/>
  <c r="C45" i="8"/>
  <c r="E30" i="8"/>
  <c r="F30" i="8" s="1"/>
  <c r="E28" i="8"/>
  <c r="F28" i="8" s="1"/>
  <c r="C10" i="8"/>
  <c r="G40" i="8" l="1"/>
  <c r="F42" i="8"/>
  <c r="G42" i="8" s="1"/>
  <c r="E10" i="8"/>
  <c r="F10" i="8" s="1"/>
  <c r="H10" i="8"/>
  <c r="H34" i="8"/>
  <c r="R7" i="18"/>
  <c r="P47" i="18"/>
  <c r="C47" i="8"/>
  <c r="D45" i="8"/>
  <c r="B46" i="8"/>
  <c r="C9" i="8"/>
  <c r="D5" i="23" l="1"/>
  <c r="G5" i="23" s="1"/>
  <c r="H9" i="8"/>
  <c r="E48" i="18"/>
  <c r="P48" i="18"/>
  <c r="Q44" i="18"/>
  <c r="Q45" i="18"/>
  <c r="Q42" i="18"/>
  <c r="Q43" i="18"/>
  <c r="Q46" i="18"/>
  <c r="Q24" i="18"/>
  <c r="G48" i="18"/>
  <c r="Q18" i="18"/>
  <c r="Q19" i="18"/>
  <c r="Q20" i="18"/>
  <c r="Q15" i="18"/>
  <c r="Q10" i="18"/>
  <c r="Q16" i="18"/>
  <c r="R47" i="18"/>
  <c r="Q40" i="18"/>
  <c r="Q27" i="18"/>
  <c r="Q30" i="18"/>
  <c r="Q28" i="18"/>
  <c r="Q37" i="18"/>
  <c r="Q29" i="18"/>
  <c r="Q39" i="18"/>
  <c r="Q36" i="18"/>
  <c r="Q35" i="18"/>
  <c r="Q33" i="18"/>
  <c r="Q32" i="18"/>
  <c r="Q31" i="18"/>
  <c r="Q34" i="18"/>
  <c r="Q26" i="18"/>
  <c r="Q41" i="18"/>
  <c r="Q25" i="18"/>
  <c r="Q38" i="18"/>
  <c r="Q9" i="18"/>
  <c r="Q7" i="18"/>
  <c r="Q17" i="18"/>
  <c r="Q23" i="18"/>
  <c r="Q21" i="18"/>
  <c r="N48" i="18"/>
  <c r="H48" i="18"/>
  <c r="M48" i="18"/>
  <c r="I48" i="18"/>
  <c r="L48" i="18"/>
  <c r="K48" i="18"/>
  <c r="O48" i="18"/>
  <c r="F48" i="18"/>
  <c r="J48" i="18"/>
  <c r="Q11" i="18"/>
  <c r="Q12" i="18"/>
  <c r="Q8" i="18"/>
  <c r="Q14" i="18"/>
  <c r="Q13" i="18"/>
  <c r="Q22" i="18"/>
  <c r="D46" i="8"/>
  <c r="D47" i="8" s="1"/>
  <c r="B47" i="8"/>
  <c r="E9" i="8"/>
  <c r="F9" i="8" s="1"/>
  <c r="C8" i="8"/>
  <c r="H8" i="8" s="1"/>
  <c r="E7" i="23"/>
  <c r="I7" i="23" s="1"/>
  <c r="E29" i="8"/>
  <c r="F29" i="8" s="1"/>
  <c r="D25" i="8"/>
  <c r="D7" i="23" l="1"/>
  <c r="G7" i="23" s="1"/>
  <c r="D9" i="23"/>
  <c r="G9" i="23" s="1"/>
  <c r="N7" i="23"/>
  <c r="R7" i="23" s="1"/>
  <c r="B40" i="8"/>
  <c r="D40" i="8" s="1"/>
  <c r="Q47" i="18"/>
  <c r="G20" i="8"/>
  <c r="G19" i="8"/>
  <c r="G17" i="8"/>
  <c r="G23" i="8"/>
  <c r="G13" i="8"/>
  <c r="G12" i="8"/>
  <c r="G18" i="8"/>
  <c r="G21" i="8"/>
  <c r="G24" i="8"/>
  <c r="G15" i="8"/>
  <c r="G25" i="8"/>
  <c r="G16" i="8"/>
  <c r="G14" i="8"/>
  <c r="G22" i="8"/>
  <c r="G11" i="8"/>
  <c r="G10" i="8"/>
  <c r="G9" i="8"/>
  <c r="R34" i="18"/>
  <c r="C25" i="8"/>
  <c r="F7" i="23"/>
  <c r="E9" i="23"/>
  <c r="F5" i="23"/>
  <c r="E8" i="8"/>
  <c r="F8" i="8" s="1"/>
  <c r="E27" i="8"/>
  <c r="F27" i="8" s="1"/>
  <c r="G27" i="8"/>
  <c r="C42" i="8"/>
  <c r="G8" i="8"/>
  <c r="D17" i="23" l="1"/>
  <c r="G17" i="23" s="1"/>
  <c r="D15" i="23"/>
  <c r="G15" i="23" s="1"/>
  <c r="D23" i="23"/>
  <c r="G23" i="23" s="1"/>
  <c r="D25" i="23"/>
  <c r="G25" i="23" s="1"/>
  <c r="D21" i="23"/>
  <c r="G21" i="23" s="1"/>
  <c r="D13" i="23"/>
  <c r="G13" i="23" s="1"/>
  <c r="D19" i="23"/>
  <c r="G19" i="23" s="1"/>
  <c r="C35" i="8"/>
  <c r="H25" i="8"/>
  <c r="F9" i="23"/>
  <c r="I9" i="23"/>
  <c r="N13" i="23"/>
  <c r="P7" i="23"/>
  <c r="B42" i="8"/>
  <c r="D42" i="8" s="1"/>
  <c r="E25" i="8"/>
  <c r="F25" i="8" s="1"/>
  <c r="E21" i="23"/>
  <c r="E17" i="23"/>
  <c r="E23" i="23"/>
  <c r="E13" i="23"/>
  <c r="E25" i="23"/>
  <c r="E15" i="23"/>
  <c r="E19" i="23"/>
  <c r="I19" i="23" s="1"/>
  <c r="D35" i="8"/>
  <c r="G30" i="8"/>
  <c r="G31" i="8"/>
  <c r="G28" i="8"/>
  <c r="E34" i="8"/>
  <c r="G33" i="8"/>
  <c r="G34" i="8"/>
  <c r="G32" i="8"/>
  <c r="G29" i="8"/>
  <c r="F23" i="23" l="1"/>
  <c r="I23" i="23"/>
  <c r="F19" i="23"/>
  <c r="E35" i="8"/>
  <c r="F15" i="23"/>
  <c r="I15" i="23"/>
  <c r="F17" i="23"/>
  <c r="I17" i="23"/>
  <c r="F25" i="23"/>
  <c r="I25" i="23"/>
  <c r="F21" i="23"/>
  <c r="I21" i="23"/>
  <c r="F13" i="23"/>
  <c r="I13" i="23"/>
  <c r="P13" i="23"/>
  <c r="R13" i="23"/>
  <c r="F34" i="8"/>
  <c r="H582" i="42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Marcos Cristino</author>
  </authors>
  <commentList>
    <comment ref="AK15" authorId="0" shapeId="0" xr:uid="{00000000-0006-0000-0900-000001000000}">
      <text>
        <r>
          <rPr>
            <sz val="9"/>
            <color indexed="81"/>
            <rFont val="Segoe UI"/>
            <family val="2"/>
          </rPr>
          <t>Valor apenas do Ressarcimento de Taxas Bancárias</t>
        </r>
      </text>
    </comment>
  </commentList>
</comments>
</file>

<file path=xl/sharedStrings.xml><?xml version="1.0" encoding="utf-8"?>
<sst xmlns="http://schemas.openxmlformats.org/spreadsheetml/2006/main" count="2394" uniqueCount="887">
  <si>
    <t>Orientações para preenchimento do Modelo do Plano de Ação - Programação 2022</t>
  </si>
  <si>
    <t>1) Usar o arquivo da Programação 2022 enviado pela GERPLAN. O anexo 4 é de preenchimento facultativo.</t>
  </si>
  <si>
    <t>2) Os objetivos estratégicos em âmbito nacional, foram mantidos em 2022: Fiscalização, AU como Política de Estado e Acesso da Sociedade à AU, e devem ser obrigatoriamente trabalhados.</t>
  </si>
  <si>
    <t>3) A Receita de Arrecadação Líquida (RAL) será calculada com base na Arrecadação Total, ou seja, com valores do Exercício de 2022 e Exercícios Anteriores. (Anexo 2)</t>
  </si>
  <si>
    <t>4) Vedada a inobservância de aplicação dos percentuais mínimo e máximo, com exceção da Capacitação (Anexo 2).</t>
  </si>
  <si>
    <t>5) Os órgãos deliberativos dos CAU/UF poderão, mediante as justificativas próprias, flexibilizar a aplicação de recursos mínimos e máximos em Capacitação na Programação do Plano de Ação e Orçamento de 2022. (Anexo 2)</t>
  </si>
  <si>
    <t>6) O valor da Reprogramação 2021 deve ser igual ao valor da última Reprogramação APROVADA 2021, ou seja, sem transposição.</t>
  </si>
  <si>
    <t>7) Para fins de manter a padronização deste documento:
- Não alterar cores, fórmulas e formatações no modelo;
- No preenchimento das células utilizar letras maiúsculas apenas em siglas e no começo da frase.</t>
  </si>
  <si>
    <t>8) Atentar as orientações em amarelo em cada aba da Planilha.</t>
  </si>
  <si>
    <t>9) Não reexibir e alterar as abas ocultas, são para uso posterior da GERPLAN e auxiliarão na elaboração dos Pareceres da Programação 2022.</t>
  </si>
  <si>
    <r>
      <t xml:space="preserve">Orientação: Selecionar os objetivos estratégicos prioritários em âmbito local trabalhados em 2022. Os objetivos estratégicos. em âmbito nacional, foram alterados para : </t>
    </r>
    <r>
      <rPr>
        <b/>
        <sz val="12"/>
        <rFont val="Calibri"/>
        <family val="2"/>
        <scheme val="minor"/>
      </rPr>
      <t>Fiscalização,  AU como Política de Estado e Acesso da Sociedade à AU</t>
    </r>
    <r>
      <rPr>
        <sz val="12"/>
        <rFont val="Calibri"/>
        <family val="2"/>
        <scheme val="minor"/>
      </rPr>
      <t>, devem ser obrigatoriamente trabalhados.</t>
    </r>
  </si>
  <si>
    <t>MAPA ESTRATÉGICO CAU/UF</t>
  </si>
  <si>
    <t xml:space="preserve">Objetivos de Desenvolvimento Sustentável </t>
  </si>
  <si>
    <t>Obs.: Os Indicadores devem ser vinculados aos objetivos estratégicos priorizados no Mapa Estratégico do CAU/UF, ou seja, os indicadores dos objetivos estratégicos escolhidos no Mapa Estratégico devem ser mensurados.</t>
  </si>
  <si>
    <t>CAU/MG</t>
  </si>
  <si>
    <t>Indicadores Institucionais e de Resultado (agrupados por objetivo estratégico) - Metas</t>
  </si>
  <si>
    <t>Selecione seu UF</t>
  </si>
  <si>
    <t>MG</t>
  </si>
  <si>
    <t>A- INDICADORES INSTITUCIONAIS</t>
  </si>
  <si>
    <t>Impactar significativamente o planejamento e a gestão do território</t>
  </si>
  <si>
    <t xml:space="preserve">Fórmula </t>
  </si>
  <si>
    <t xml:space="preserve">Periodicidade </t>
  </si>
  <si>
    <t>Meta
Reprogramação
2021</t>
  </si>
  <si>
    <t>Meta
Projeção
2022</t>
  </si>
  <si>
    <r>
      <t xml:space="preserve">Índice de municípios que possuem  Plano Diretor, em conformidade com os critérios da legislação (%) 
</t>
    </r>
    <r>
      <rPr>
        <b/>
        <sz val="12"/>
        <color theme="1"/>
        <rFont val="Calibri"/>
        <family val="2"/>
        <scheme val="minor"/>
      </rPr>
      <t xml:space="preserve">(CAU/UF) </t>
    </r>
  </si>
  <si>
    <t>número de municípios  da UF que possuem  Plano Diretor (384)</t>
  </si>
  <si>
    <t>x 100</t>
  </si>
  <si>
    <t>Anual</t>
  </si>
  <si>
    <t>total de municípios da UF (853)</t>
  </si>
  <si>
    <t>B- INDICADORES DE RESULTADO</t>
  </si>
  <si>
    <t>Tornar a fiscalização um vetor de melhoria do exercício da Arquitetura e Urbanismo</t>
  </si>
  <si>
    <r>
      <t xml:space="preserve">Índice da capacidade de fiscalização (%) 
</t>
    </r>
    <r>
      <rPr>
        <b/>
        <sz val="12"/>
        <rFont val="Calibri"/>
        <family val="2"/>
        <scheme val="minor"/>
      </rPr>
      <t xml:space="preserve">(CAU/UF) </t>
    </r>
  </si>
  <si>
    <t>quantidade de ações de fiscalização realizadas pelo CAU/UF no mês (1971)</t>
  </si>
  <si>
    <t xml:space="preserve">Mensal </t>
  </si>
  <si>
    <t>número de ações de fiscalização previstas no Plano de Ação aprovado (2190)</t>
  </si>
  <si>
    <r>
      <t xml:space="preserve">Índice de presença profissional nas obras e  serviços fiscalizados  (%)
</t>
    </r>
    <r>
      <rPr>
        <b/>
        <sz val="12"/>
        <rFont val="Calibri"/>
        <family val="2"/>
        <scheme val="minor"/>
      </rPr>
      <t xml:space="preserve">(CAU/UF) </t>
    </r>
    <r>
      <rPr>
        <sz val="12"/>
        <rFont val="Calibri"/>
        <family val="2"/>
        <scheme val="minor"/>
      </rPr>
      <t xml:space="preserve">                   </t>
    </r>
  </si>
  <si>
    <t>quantidade de obras e serviços regulares (39)</t>
  </si>
  <si>
    <t>quantidade de obras e serviços fiscalizados pelo CAU/UF (1971)</t>
  </si>
  <si>
    <r>
      <t xml:space="preserve">Índice de RRT por profissional ativo (Qtd)
</t>
    </r>
    <r>
      <rPr>
        <b/>
        <sz val="12"/>
        <rFont val="Calibri"/>
        <family val="2"/>
        <scheme val="minor"/>
      </rPr>
      <t xml:space="preserve">(CAU/UF)         </t>
    </r>
    <r>
      <rPr>
        <sz val="12"/>
        <rFont val="Calibri"/>
        <family val="2"/>
        <scheme val="minor"/>
      </rPr>
      <t xml:space="preserve">       </t>
    </r>
  </si>
  <si>
    <t>número total de RRT registrados (pagos) por mês (4750)</t>
  </si>
  <si>
    <t xml:space="preserve"> total de profissionais ativos (17458)</t>
  </si>
  <si>
    <r>
      <t xml:space="preserve">Índice de capacidade de atendimento de denúncias  (%)
</t>
    </r>
    <r>
      <rPr>
        <b/>
        <sz val="12"/>
        <rFont val="Calibri"/>
        <family val="2"/>
        <scheme val="minor"/>
      </rPr>
      <t>(CAU/UF)</t>
    </r>
  </si>
  <si>
    <t>quantidade de denúncias atendidas (192)</t>
  </si>
  <si>
    <t>número de denúncias recebidas (240)</t>
  </si>
  <si>
    <r>
      <t xml:space="preserve">Índice de eficiência na conclusão de processos de fiscalização  (%)
</t>
    </r>
    <r>
      <rPr>
        <b/>
        <sz val="12"/>
        <rFont val="Calibri"/>
        <family val="2"/>
        <scheme val="minor"/>
      </rPr>
      <t>(CAU/UF)</t>
    </r>
  </si>
  <si>
    <t>número de processos de fiscalização concluídos no semestre (394)</t>
  </si>
  <si>
    <t>Semestral</t>
  </si>
  <si>
    <t xml:space="preserve"> número total de processos de fiscalização em aberto no ano (1971)</t>
  </si>
  <si>
    <r>
      <t xml:space="preserve">Índice da capacidade de articulação institucional para fiscalização (%)
</t>
    </r>
    <r>
      <rPr>
        <b/>
        <sz val="12"/>
        <rFont val="Calibri"/>
        <family val="2"/>
        <scheme val="minor"/>
      </rPr>
      <t>(CAU/UF)</t>
    </r>
  </si>
  <si>
    <t>quantidade de termos de cooperação técnica e parcerias para racionalização da ações de fiscalização (13)</t>
  </si>
  <si>
    <t>número de termos e parcerias previstos no Plano de Ação (15)</t>
  </si>
  <si>
    <r>
      <t xml:space="preserve">Índice produtividade de fiscalização (%)
</t>
    </r>
    <r>
      <rPr>
        <b/>
        <sz val="12"/>
        <rFont val="Calibri"/>
        <family val="2"/>
        <scheme val="minor"/>
      </rPr>
      <t>(CAU/UF)</t>
    </r>
  </si>
  <si>
    <t>quantidade mensal de ações de fiscalização realizada (1971)</t>
  </si>
  <si>
    <t>Mensal</t>
  </si>
  <si>
    <t>número de horas de fiscalização mensal (10560)</t>
  </si>
  <si>
    <r>
      <t xml:space="preserve">Índice de regularidade no CAU (%)
</t>
    </r>
    <r>
      <rPr>
        <b/>
        <sz val="12"/>
        <rFont val="Calibri"/>
        <family val="2"/>
        <scheme val="minor"/>
      </rPr>
      <t>(CAU/UF)</t>
    </r>
  </si>
  <si>
    <t>quantidade obras e serviços com RRT (3)</t>
  </si>
  <si>
    <r>
      <t xml:space="preserve">Índice de regularização de obras e serviços (%)
</t>
    </r>
    <r>
      <rPr>
        <b/>
        <sz val="12"/>
        <rFont val="Calibri"/>
        <family val="2"/>
        <scheme val="minor"/>
      </rPr>
      <t>(CAU/UF)</t>
    </r>
  </si>
  <si>
    <t>quantidade de obras e serviços regularizados (21)</t>
  </si>
  <si>
    <t>quantidade de obras e serviços fiscalizados pelo CAU/UF (105)</t>
  </si>
  <si>
    <r>
      <t xml:space="preserve">Índice de regularização com RRT (%)
</t>
    </r>
    <r>
      <rPr>
        <b/>
        <sz val="12"/>
        <rFont val="Calibri"/>
        <family val="2"/>
        <scheme val="minor"/>
      </rPr>
      <t>(CAU/UF)</t>
    </r>
  </si>
  <si>
    <t>quantidade de obras e serviços regularizados com RRT (16)</t>
  </si>
  <si>
    <t>quantidade obras e serviços regularizados (21)</t>
  </si>
  <si>
    <t>Assegurar a eficácia no atendimento e no relacionamento com os arquitetos e urbanistas e a sociedade</t>
  </si>
  <si>
    <r>
      <t xml:space="preserve">Índice de atendimento (%)
</t>
    </r>
    <r>
      <rPr>
        <b/>
        <sz val="12"/>
        <rFont val="Calibri"/>
        <family val="2"/>
        <scheme val="minor"/>
      </rPr>
      <t>(CAU/UF)</t>
    </r>
  </si>
  <si>
    <t>número de solicitações tratadas no prazo estipulado pela Carta de Serviços no trimestre (35000)</t>
  </si>
  <si>
    <t>Trimestral</t>
  </si>
  <si>
    <t>número de solicitações abertas no trimestre (35000)</t>
  </si>
  <si>
    <r>
      <t xml:space="preserve">Índice de satisfação com a solução da demanda (%)
</t>
    </r>
    <r>
      <rPr>
        <b/>
        <sz val="12"/>
        <rFont val="Calibri"/>
        <family val="2"/>
        <scheme val="minor"/>
      </rPr>
      <t>(CAU/UF)</t>
    </r>
  </si>
  <si>
    <t>número de usuários satisfeitos com a solução da demanda (2573)</t>
  </si>
  <si>
    <t>número de usuários que responderam a pesquisa (2860)</t>
  </si>
  <si>
    <r>
      <t xml:space="preserve">Índice de reclamações recebidas na Ouvidoria (%)
</t>
    </r>
    <r>
      <rPr>
        <b/>
        <sz val="12"/>
        <rFont val="Calibri"/>
        <family val="2"/>
        <scheme val="minor"/>
      </rPr>
      <t>(CAU/UF)</t>
    </r>
  </si>
  <si>
    <t xml:space="preserve">número de reclamações recebidas pela Ouvidoria  no trimestre                                                                                                               </t>
  </si>
  <si>
    <t>NSA</t>
  </si>
  <si>
    <t xml:space="preserve">número total de atendimentos pela Ouvidoria no trimestre                                   </t>
  </si>
  <si>
    <t>Estimular o conhecimento, o uso de processos criativos e a difusão das melhores práticas em Arquitetura e Urbanismo</t>
  </si>
  <si>
    <r>
      <t xml:space="preserve">Índice da capacidade de execução dos investimentos em patrocínios  (%)
</t>
    </r>
    <r>
      <rPr>
        <b/>
        <sz val="12"/>
        <rFont val="Calibri"/>
        <family val="2"/>
        <scheme val="minor"/>
      </rPr>
      <t>(CAU/UF)</t>
    </r>
  </si>
  <si>
    <t>valor orçamentário investido (executado) em patrocínios no ano (422.800)</t>
  </si>
  <si>
    <t xml:space="preserve">Anual
</t>
  </si>
  <si>
    <t>valor orçamentário destinado (orçado) em patrocínios no ano (422.800)</t>
  </si>
  <si>
    <r>
      <t xml:space="preserve">Índice de difusão de conhecimento em eventos próprios (%)
</t>
    </r>
    <r>
      <rPr>
        <b/>
        <sz val="12"/>
        <rFont val="Calibri"/>
        <family val="2"/>
        <scheme val="minor"/>
      </rPr>
      <t>(CAU/UF)</t>
    </r>
  </si>
  <si>
    <t>Quantidade de participantes presentes (2.860)</t>
  </si>
  <si>
    <t>quantidade de participantes previstas no Plano de Ação Aprovado  (2.860)</t>
  </si>
  <si>
    <r>
      <t xml:space="preserve">Índice de eficiência de custos de eventos próprios
</t>
    </r>
    <r>
      <rPr>
        <b/>
        <sz val="12"/>
        <rFont val="Calibri"/>
        <family val="2"/>
        <scheme val="minor"/>
      </rPr>
      <t>(CAU/UF)</t>
    </r>
  </si>
  <si>
    <t>custos totais dos eventos</t>
  </si>
  <si>
    <t>quantidade de participantes presentes  (2.860)</t>
  </si>
  <si>
    <r>
      <t xml:space="preserve">Índice de alcance das melhores práticas (%)
</t>
    </r>
    <r>
      <rPr>
        <b/>
        <sz val="12"/>
        <rFont val="Calibri"/>
        <family val="2"/>
        <scheme val="minor"/>
      </rPr>
      <t>(CAU/UF)</t>
    </r>
  </si>
  <si>
    <t>número de pessoas atingida pelo material produzido e distribuído (171)</t>
  </si>
  <si>
    <t>quantidade de material informativo produzido (180)</t>
  </si>
  <si>
    <t>Garantir a participação dos arquitetos e urbanistas no planejamento territorial e na gestão urbana</t>
  </si>
  <si>
    <r>
      <t xml:space="preserve">Ações realizadas em conjunto com municípios, destinadas ao planejamento urbano
</t>
    </r>
    <r>
      <rPr>
        <b/>
        <sz val="12"/>
        <color theme="1"/>
        <rFont val="Calibri"/>
        <family val="2"/>
        <scheme val="minor"/>
      </rPr>
      <t>(CAU/UF)</t>
    </r>
  </si>
  <si>
    <t>número de ações com participação do CAU/UF</t>
  </si>
  <si>
    <t>Estimular a produção da arquitetura e urbanismo como política de Estado</t>
  </si>
  <si>
    <r>
      <t xml:space="preserve">Participação do CAU na elaboração ou regulamentação da Lei da Assistência Técnica Gratuita (Lei nº 11.888/08) (%)
</t>
    </r>
    <r>
      <rPr>
        <b/>
        <sz val="12"/>
        <rFont val="Calibri"/>
        <family val="2"/>
        <scheme val="minor"/>
      </rPr>
      <t>(CAU/UF)</t>
    </r>
  </si>
  <si>
    <t>número de municípios da UF que passaram a aplicar a Lei de Assistência Técnica (13)</t>
  </si>
  <si>
    <t>total de municípios da UF (20)</t>
  </si>
  <si>
    <r>
      <t xml:space="preserve">Índice de ações realizadas destinadas à Assistência Técnica (%)
</t>
    </r>
    <r>
      <rPr>
        <b/>
        <sz val="12"/>
        <rFont val="Calibri"/>
        <family val="2"/>
        <scheme val="minor"/>
      </rPr>
      <t>(CAU/UF)</t>
    </r>
  </si>
  <si>
    <t>número de ações com participação do CAU/UF (256)</t>
  </si>
  <si>
    <t>Assegurar a eficácia no relacionamento e comunicação com a sociedade</t>
  </si>
  <si>
    <r>
      <t xml:space="preserve">Acessos à página do CAU (Qtd.)
</t>
    </r>
    <r>
      <rPr>
        <b/>
        <sz val="12"/>
        <rFont val="Calibri"/>
        <family val="2"/>
        <scheme val="minor"/>
      </rPr>
      <t>(CAU/UF)</t>
    </r>
  </si>
  <si>
    <t>quantidade de acessos qualificados (visitantes únicos) a página do CAU/UF</t>
  </si>
  <si>
    <r>
      <t xml:space="preserve">Índice de presença na mídia como um todo (%)
</t>
    </r>
    <r>
      <rPr>
        <b/>
        <sz val="12"/>
        <rFont val="Calibri"/>
        <family val="2"/>
        <scheme val="minor"/>
      </rPr>
      <t>(CAU/UF)</t>
    </r>
  </si>
  <si>
    <t>número de inserções na mídia em geral onde o CAU/UF foi citado</t>
  </si>
  <si>
    <t>total de notícias sobre questões de Arquitetura e Urbanismo</t>
  </si>
  <si>
    <r>
      <t xml:space="preserve">Índice de inserções positivas na mídia (%)
</t>
    </r>
    <r>
      <rPr>
        <b/>
        <sz val="12"/>
        <rFont val="Calibri"/>
        <family val="2"/>
        <scheme val="minor"/>
      </rPr>
      <t>(CAU/UF)</t>
    </r>
  </si>
  <si>
    <t>número de inserções positivas do CAU/UF na mídia</t>
  </si>
  <si>
    <t>total de inserções do CAU na mídia</t>
  </si>
  <si>
    <t>Número de  visualizações das publicações do CAU/UF das redes sociais</t>
  </si>
  <si>
    <t>quantidade de visualizações das publicações do CAU/UF das redes sociais</t>
  </si>
  <si>
    <t>Promover o exercício ético e qualificado da profissão</t>
  </si>
  <si>
    <r>
      <t xml:space="preserve">Índice de escolas que possuem disciplinas com conteúdo sobre a ética profissional (%)
</t>
    </r>
    <r>
      <rPr>
        <b/>
        <sz val="12"/>
        <rFont val="Calibri"/>
        <family val="2"/>
        <scheme val="minor"/>
      </rPr>
      <t>(CAU/UF)</t>
    </r>
  </si>
  <si>
    <t>número de escolas da UF com a disciplina de ética profissional na grade curricular</t>
  </si>
  <si>
    <t>número total de escolas da UF</t>
  </si>
  <si>
    <r>
      <t xml:space="preserve">Índice de eficiência na conclusão de processos éticos (%)
</t>
    </r>
    <r>
      <rPr>
        <b/>
        <sz val="12"/>
        <rFont val="Calibri"/>
        <family val="2"/>
        <scheme val="minor"/>
      </rPr>
      <t>(CAU/UF)</t>
    </r>
  </si>
  <si>
    <t>número de processos éticos concluídos em um ano (30)</t>
  </si>
  <si>
    <t>número total de processos éticos abertos (50)</t>
  </si>
  <si>
    <r>
      <t xml:space="preserve">Eficiência no trâmite de processos éticos (dias)
</t>
    </r>
    <r>
      <rPr>
        <b/>
        <sz val="12"/>
        <rFont val="Calibri"/>
        <family val="2"/>
        <scheme val="minor"/>
      </rPr>
      <t>(CAU/UF)</t>
    </r>
  </si>
  <si>
    <t>tempo médio de conclusão de processos éticos (537)</t>
  </si>
  <si>
    <t>tempo máximo para conclusão de processo (1095)</t>
  </si>
  <si>
    <t>Fomentar o acesso da sociedade à Arquitetura e Urbanismo</t>
  </si>
  <si>
    <r>
      <t xml:space="preserve">Índice de RRT por população (1.000 habitantes) (%)
</t>
    </r>
    <r>
      <rPr>
        <b/>
        <sz val="12"/>
        <rFont val="Calibri"/>
        <family val="2"/>
        <scheme val="minor"/>
      </rPr>
      <t>(CAU/UF)</t>
    </r>
  </si>
  <si>
    <t>total de RRT pagos na UF (56998)</t>
  </si>
  <si>
    <t>população total da UF/1000 habitantes (21293)</t>
  </si>
  <si>
    <r>
      <t xml:space="preserve">Índice de RRT mínimos (%)
</t>
    </r>
    <r>
      <rPr>
        <b/>
        <sz val="12"/>
        <rFont val="Calibri"/>
        <family val="2"/>
        <scheme val="minor"/>
      </rPr>
      <t>(CAU/UF)</t>
    </r>
  </si>
  <si>
    <t>RRT mínima (1710)</t>
  </si>
  <si>
    <t>total de RRT na UF (56998)</t>
  </si>
  <si>
    <r>
      <t xml:space="preserve">Índice de RRT Social (%)
</t>
    </r>
    <r>
      <rPr>
        <b/>
        <sz val="12"/>
        <rFont val="Calibri"/>
        <family val="2"/>
        <scheme val="minor"/>
      </rPr>
      <t>(CAU/UF)</t>
    </r>
  </si>
  <si>
    <t>RRT Social (0)</t>
  </si>
  <si>
    <t>Assegurar a sustentabilidade financeira</t>
  </si>
  <si>
    <r>
      <t xml:space="preserve">Índice de receita por arquiteto e urbanista 
</t>
    </r>
    <r>
      <rPr>
        <b/>
        <sz val="12"/>
        <rFont val="Calibri"/>
        <family val="2"/>
        <scheme val="minor"/>
      </rPr>
      <t>(CAU/UF)</t>
    </r>
  </si>
  <si>
    <t>receita corrente (R$ 12.047.133,76)</t>
  </si>
  <si>
    <t xml:space="preserve">Semestral 
</t>
  </si>
  <si>
    <t>total de profissionais ativos (17.458)</t>
  </si>
  <si>
    <r>
      <t xml:space="preserve">Relação receita/custo total de pessoal (%)
</t>
    </r>
    <r>
      <rPr>
        <b/>
        <sz val="12"/>
        <rFont val="Calibri"/>
        <family val="2"/>
        <scheme val="minor"/>
      </rPr>
      <t>(CAU/UF)</t>
    </r>
  </si>
  <si>
    <t>custo total de pessoal (R$6.851.395,68)</t>
  </si>
  <si>
    <t xml:space="preserve">Semestral </t>
  </si>
  <si>
    <r>
      <t xml:space="preserve">Índice de liquidez corrente 
</t>
    </r>
    <r>
      <rPr>
        <b/>
        <sz val="12"/>
        <rFont val="Calibri"/>
        <family val="2"/>
        <scheme val="minor"/>
      </rPr>
      <t>(CAU/UF)</t>
    </r>
  </si>
  <si>
    <t>ativo circulante (17.260.298,16)</t>
  </si>
  <si>
    <t>passivo circulante (809.690,50)</t>
  </si>
  <si>
    <r>
      <t xml:space="preserve">Índice de inadimplência pessoa física (%)
</t>
    </r>
    <r>
      <rPr>
        <b/>
        <sz val="12"/>
        <rFont val="Calibri"/>
        <family val="2"/>
        <scheme val="minor"/>
      </rPr>
      <t>(CAU/UF)</t>
    </r>
  </si>
  <si>
    <t>total de profissionais inadimplentes (4.133)</t>
  </si>
  <si>
    <t>total de profissionais potenciais pagantes (16.749)</t>
  </si>
  <si>
    <r>
      <t xml:space="preserve">Índice de inadimplência pessoa jurídica (%)
</t>
    </r>
    <r>
      <rPr>
        <b/>
        <sz val="12"/>
        <rFont val="Calibri"/>
        <family val="2"/>
        <scheme val="minor"/>
      </rPr>
      <t>(CAU/UF)</t>
    </r>
  </si>
  <si>
    <t>total de empresas inadimplentes (752)</t>
  </si>
  <si>
    <t>total de empresas ativas (1.892)</t>
  </si>
  <si>
    <t>Aprimorar e inovar os processos e as ações</t>
  </si>
  <si>
    <r>
      <t xml:space="preserve">Índice de mapeamento processos (%)
</t>
    </r>
    <r>
      <rPr>
        <b/>
        <sz val="12"/>
        <rFont val="Calibri"/>
        <family val="2"/>
        <scheme val="minor"/>
      </rPr>
      <t>(CAU/UF)</t>
    </r>
  </si>
  <si>
    <t>número de processos mapeados (64)</t>
  </si>
  <si>
    <t>total de processos existentes (67)</t>
  </si>
  <si>
    <r>
      <t xml:space="preserve">Índice de normatização de processos (%)
</t>
    </r>
    <r>
      <rPr>
        <b/>
        <sz val="12"/>
        <rFont val="Calibri"/>
        <family val="2"/>
        <scheme val="minor"/>
      </rPr>
      <t>(CAU/UF)</t>
    </r>
  </si>
  <si>
    <t>número de processos normatizados (30)</t>
  </si>
  <si>
    <r>
      <t xml:space="preserve">Índice de automação de processos (%)
</t>
    </r>
    <r>
      <rPr>
        <b/>
        <sz val="12"/>
        <rFont val="Calibri"/>
        <family val="2"/>
        <scheme val="minor"/>
      </rPr>
      <t>(CAU/UF)</t>
    </r>
  </si>
  <si>
    <t>número de processos automatizados (3)</t>
  </si>
  <si>
    <t>Desenvolver competências de dirigentes e colaboradores</t>
  </si>
  <si>
    <r>
      <t xml:space="preserve">Média de horas de treinamento por colaboradores e dirigentes
</t>
    </r>
    <r>
      <rPr>
        <b/>
        <sz val="12"/>
        <rFont val="Calibri"/>
        <family val="2"/>
        <scheme val="minor"/>
      </rPr>
      <t>(CAU/UF)</t>
    </r>
  </si>
  <si>
    <t>horas totais de treinamento</t>
  </si>
  <si>
    <t>número total de colaboradores e dirigentes</t>
  </si>
  <si>
    <t>Construir cultura organizacional adequada à estratégia</t>
  </si>
  <si>
    <t>Número de ações executadas</t>
  </si>
  <si>
    <t xml:space="preserve">quantidade de ações executadas voltadas à cultura organizacional e estratégia                                                                                                                  </t>
  </si>
  <si>
    <t>Índice de cumprimento das metas do Plano de Ação (%)</t>
  </si>
  <si>
    <r>
      <t>total de iniciativas executadas (172)</t>
    </r>
    <r>
      <rPr>
        <b/>
        <sz val="12"/>
        <rFont val="Calibri"/>
        <family val="2"/>
        <scheme val="minor"/>
      </rPr>
      <t xml:space="preserve">                                                              </t>
    </r>
  </si>
  <si>
    <r>
      <t>total de iniciativas planejadas (287)</t>
    </r>
    <r>
      <rPr>
        <b/>
        <sz val="12"/>
        <rFont val="Calibri"/>
        <family val="2"/>
        <scheme val="minor"/>
      </rPr>
      <t xml:space="preserve">      </t>
    </r>
  </si>
  <si>
    <t>Ter sistemas de informação e infraestrutura que viabilizem a gestão e o atendimento dos arquitetos e urbanistas e a sociedade</t>
  </si>
  <si>
    <r>
      <t xml:space="preserve">Índice de satisfação interna com a tecnologia utilizada (%)
</t>
    </r>
    <r>
      <rPr>
        <b/>
        <sz val="12"/>
        <rFont val="Calibri"/>
        <family val="2"/>
        <scheme val="minor"/>
      </rPr>
      <t>(CAU/UF)</t>
    </r>
  </si>
  <si>
    <t>número de usuários internos satisfeitos com a tecnologia (36)</t>
  </si>
  <si>
    <t>total de usuários internos que participaram da pesquisa (40)</t>
  </si>
  <si>
    <r>
      <t xml:space="preserve">Índice de satisfação externa com a tecnologia utilizada (%)
</t>
    </r>
    <r>
      <rPr>
        <b/>
        <sz val="12"/>
        <rFont val="Calibri"/>
        <family val="2"/>
        <scheme val="minor"/>
      </rPr>
      <t>(CAU/UF)</t>
    </r>
  </si>
  <si>
    <t>número de usuários externos satisfeitos com a tecnologia (2000)</t>
  </si>
  <si>
    <t>total de usuários externos que participaram da pesquisa (2860)</t>
  </si>
  <si>
    <t>Justificativas para os indicadores que não foram propostas metas:</t>
  </si>
  <si>
    <r>
      <t xml:space="preserve">Frente aos objetivos estratégicos selecionados no Mapa Estratégico (nacionais e locais), sugerimos a seleção de ao menos um indicador vinculado a cada objetivo.
</t>
    </r>
    <r>
      <rPr>
        <b/>
        <sz val="12"/>
        <color theme="1"/>
        <rFont val="Calibri"/>
        <family val="2"/>
        <scheme val="minor"/>
      </rPr>
      <t>Caso não defina meta, favor justificar neste campo.</t>
    </r>
  </si>
  <si>
    <t>Indicadores selecionados pelo UF (para uso do CAU/BR)</t>
  </si>
  <si>
    <r>
      <t xml:space="preserve">Orientação: As células sinalizadas, em cinza, são fórmulas e não devem ser modificadas. Verificar os comentários colocando o cursor na célula correspondente, no cabeçalho. </t>
    </r>
    <r>
      <rPr>
        <b/>
        <sz val="12"/>
        <color theme="1"/>
        <rFont val="Calibri"/>
        <family val="2"/>
        <scheme val="minor"/>
      </rPr>
      <t>Caso seja necessário aumentar o número de linhas, favor verificar a continuidade das fórmulas. 
O enquadramento aos Objetivos de Desenvolvimento Sustentável (ODS) é facultativo. Cabe ressaltar que o aporte ao CSC e o custeio da Participação do Presidente nas Plenárias Ampliadas, para os CAU/Básicos, devem ser custeados pelo Fundo de Apoio, obedecendo as Resoluções 119 e 126 e a Proposta 02/2021 - CG-FA.</t>
    </r>
  </si>
  <si>
    <t>PLANO DE AÇÃO - PROGRAMAÇÃO  2022</t>
  </si>
  <si>
    <t>1. QUADRO GERAL</t>
  </si>
  <si>
    <t>Unidade Responsável</t>
  </si>
  <si>
    <t>P/A/ PE</t>
  </si>
  <si>
    <t>Denominação</t>
  </si>
  <si>
    <t xml:space="preserve">Objetivo Geral </t>
  </si>
  <si>
    <t>Objetivo Estratégico Principal</t>
  </si>
  <si>
    <t>Objetivos de Desenvolvimento Sustentável</t>
  </si>
  <si>
    <t>Resultado</t>
  </si>
  <si>
    <t>Reprogramação
2021 
R$ (A)</t>
  </si>
  <si>
    <t>Programação
 2022
 R$ (B)</t>
  </si>
  <si>
    <t xml:space="preserve">A custear com Recursos do Superávit Financeiro (R$) </t>
  </si>
  <si>
    <t xml:space="preserve">Variação (2022/2021) </t>
  </si>
  <si>
    <t xml:space="preserve"> Valor (R$)
(C=B-A)</t>
  </si>
  <si>
    <t>% 
(D= C/A *100)</t>
  </si>
  <si>
    <t>Comissão de Ensino e Formação (CEF)</t>
  </si>
  <si>
    <t>A</t>
  </si>
  <si>
    <t>Manter e Desenvolver as Atividades da Comissão de Ensino e Formação</t>
  </si>
  <si>
    <t>Cumprir as competências da Comissão conforme Regimento Interno e as ações previstas no seu Plano de</t>
  </si>
  <si>
    <t>Influenciar as diretrizes do ensino de Arquitetura e Urbanismo e sua formação continuada</t>
  </si>
  <si>
    <t>04 - Educação de qualidade</t>
  </si>
  <si>
    <t>Diretrizes e orientações desenvolvidas para maior integração entre CAU/MG e as Instituições de Ensino Superior mineiras; Demandas administrativas relativas à Comissão realizadas conforme previsões regimentais e pelos normativos do CAU.</t>
  </si>
  <si>
    <t>Comissão de Ética e Disciplina (CED)</t>
  </si>
  <si>
    <t>Manter e Desenvolver as Atividades da Comissão de Ética e Disciplina</t>
  </si>
  <si>
    <t>Cumprir as competências da Comissão conforme Regimento Interno e as ações previstas no seu Plano de Trabalho e no Plano de Ação do CAU/MG.</t>
  </si>
  <si>
    <t>16 - Paz, justiça e instituições eficazes</t>
  </si>
  <si>
    <t>Diretrizes e orientações desenvolvidas e divulgadas para a ampliação da compreensão do Código de Ética no Estado de Minas Gerais; Demandas administrativas relativas à Comissão realizadas conforme previsões regimentais e pelos normativos do CAU.</t>
  </si>
  <si>
    <t>Comissão de Exercício Profissional (CEP)</t>
  </si>
  <si>
    <t>Manter e Desenvolver as Atividades da Comissão de Exercício Profissional</t>
  </si>
  <si>
    <t>11 - Cidades e comunidades sustentáveis</t>
  </si>
  <si>
    <t>Diretrizes e orientações  elaboradas e monitoradas para a fiscalização do CAU/MG; Demandas administrativas relativas à Comissão realizadas conforme previsões regimentais e pelos normativos do CAU.</t>
  </si>
  <si>
    <t>Comissão de Planejamento e Finanças (CPFi)</t>
  </si>
  <si>
    <t>Manter e Desenvolver as Atividades da Comissão de Planejamento e Finanças</t>
  </si>
  <si>
    <t>Diretrizes e orientações elaboradas e revisadas voltadas para melhorias no planejamento das ações administrativas e financeiras do CAU/MG; Demandas administrativas relativas à Comissão realizadas conforme previsões regimentais e pelos normativos do CAU.</t>
  </si>
  <si>
    <t>Comissão de Organização e Administração (COA)</t>
  </si>
  <si>
    <t>Manter e Desenvolver as Atividades da Comissão de Organização e Administração</t>
  </si>
  <si>
    <t>Diretrizes e orientações elaboradas e revisadas voltadas para melhorias organizacionais, normativas e administrativas do CAU/MG; Demandas administrativas relativas à Comissão realizadas conforme previsões regimentais e pelos normativos do CAU.</t>
  </si>
  <si>
    <t>Comissão Especial de Política Urbana e Ambiental (CPUA)</t>
  </si>
  <si>
    <t>Manter e Desenvolver as Atividades da Comissão Especial de Política Urbana e Ambiental</t>
  </si>
  <si>
    <t>Garantir a participação dos Arquitetos e Urbanistas no planejamento territorial e na gestão urbana</t>
  </si>
  <si>
    <t>Diretrizes e orientações elaboradas e revisadas voltadas para o aperfeiçoamento da política urbana de municípios e estado e para o desenvolvimento profissional integrado às demandas relativas ao planejamento urbano e territorial; Demandas administrativas relativas à Comissão realizadas conforme previsões regimentais e pelos normativos do CAU.</t>
  </si>
  <si>
    <t>Comissão Especial de Assistência Técnica para Habitação de Interesse Social (Cathis)</t>
  </si>
  <si>
    <t>Manter e Desenvolver as Atividades da Comissão Especial de Assistência Técnica para Habitação de Interesse Social</t>
  </si>
  <si>
    <t>Diretrizes e orientações elaboradas e revisadas voltadas para o aperfeiçoamento da política de assistência técnica para habitação de interesse social pública e gratuita e para o desenvolvimento profissional integrado às demandas habitacionais, urbanas e ambientais dos territórios; Demandas administrativas relativas à Comissão realizadas conforme previsões regimentais e pelos normativos do CAU.</t>
  </si>
  <si>
    <t>Comissão Especial de Patrimônio Cultural (CPC)</t>
  </si>
  <si>
    <t>Manter e Desenvolver as Atividades da Comissão Especial de Patrimônio Cultural</t>
  </si>
  <si>
    <t>Estimular a produção da Arquitetura e Urbanismo como política de Estado</t>
  </si>
  <si>
    <t>Diretrizes e orientações elaboradas e revisadas voltadas para a valorização e difusão do patrimônio cultural  e promoção da participação dos arquitetos e urbanistas na atuação direta e gestão do patrimônio cultural como política de Estado; Demandas administrativas relativas à Comissão realizadas conforme previsões regimentais e pelos normativos do CAU.</t>
  </si>
  <si>
    <t>Presidência</t>
  </si>
  <si>
    <t>Manter e Desenvolver as Atividades da Presidência e dos Conselheiros Federais</t>
  </si>
  <si>
    <t>Cumprir as competências dos órgãos colegiados conforme Regimento Interno e seu planejamento</t>
  </si>
  <si>
    <t>Representação oficial realizada pela Presidência do CAU/MG e de seus Conselheiros Federais nas reuniões dos órgãos colegiados do CAU/MG; Rotinas administrativas realizadas pela Presidência do CAU/MG.</t>
  </si>
  <si>
    <t>Manter e Desenvolver as Atividades de Comissões Temporárias</t>
  </si>
  <si>
    <t>Garantir a realização de reuniões e ações de Comissões Temporárias instituídas pelo Plenário para atender demandas específicas, conforme Regimento Interno.</t>
  </si>
  <si>
    <t>Apresentação de relatório(s) conclusivo(s) dirigido(s) ao órgão proponente pela instituição das Comissões Temporárias, apresentados ao final dos trabalhos de resolução de demanda específica, publicando-os no sítio eletrônico do CAU/MG.</t>
  </si>
  <si>
    <t>P</t>
  </si>
  <si>
    <t>Edital de Patrocínio modalidade Patrimônio Cultural</t>
  </si>
  <si>
    <t>Fomentar atividades que promovam a arquitetura e urbanismo em Minas Gerais.</t>
  </si>
  <si>
    <t>17 - Parcerias e meios de implementação</t>
  </si>
  <si>
    <t>Lançamento de Edital de Patrocínio, e firmar convênios específicos com o objetivo de valorizar a Arquitetura e Urbanismo em Minas Gerais.</t>
  </si>
  <si>
    <t>Edital de Patrocínio Modalidade Política Urbana</t>
  </si>
  <si>
    <t xml:space="preserve">Fomentar atividades no campo da Política Urbana e Ambiental </t>
  </si>
  <si>
    <t xml:space="preserve">Lançamento de Edital e Premiação dos trabalhos que promovam a Arquitetura e Urbanismo no campo da Política Urbana e Ambiental
</t>
  </si>
  <si>
    <t>Edital de Apoio Institucional</t>
  </si>
  <si>
    <t>Incentivar iniciativas diversas relacionadas ao Exercício da Arquitetura e Urbanismo</t>
  </si>
  <si>
    <t>Apoio Institucional com repasse financeiro como incentivo a iniciativas diversas relacionadas ao Exercício da Arquitetura e Urbanismo</t>
  </si>
  <si>
    <t>Assistência Técnica para Habitação de Interesse Social (ATHIS)</t>
  </si>
  <si>
    <t>Fomentar atividades que promovam a arquitetura e urbanismo em Minas Gerais no campo da Assistência Técnica para a Habitação de Interesse Social (Athis).</t>
  </si>
  <si>
    <t>Representação Institucional do CAU/MG II</t>
  </si>
  <si>
    <t>Garantir a representação de colaborador ou dirigente do CAU/MG no desenvolvimento de ações ligadas ao planejamento urbano e temáticas afins.</t>
  </si>
  <si>
    <t>Ampliação da presença do CAU/MG nos debates de planejamento urbano e temáticas afins no estado.</t>
  </si>
  <si>
    <t>Representação Institucional do CAU/MG I</t>
  </si>
  <si>
    <t>Garantir a representação de colaborador ou dirigente do CAU/MG no desenvolvimento de ações ligadas ao ensino, formação profissional e ao Código de Ética.</t>
  </si>
  <si>
    <t>Ampliação da presença do CAU/MG em Instituições de Ensino Superior (IES) mineiras e órgãos públicos municipais e do estado.</t>
  </si>
  <si>
    <t>Capacitações</t>
  </si>
  <si>
    <t>Garantir a capacitação de colaboradores e dirigentes, melhorando e ampliando a capacidade técnica desses agentes.</t>
  </si>
  <si>
    <t>08 - Trabalho decente e crescimento econômico</t>
  </si>
  <si>
    <t>Capacitação realizada de colaboradores e dirigentes.</t>
  </si>
  <si>
    <t>Manter e Desenvolver as Atividades da Ouvidoria</t>
  </si>
  <si>
    <t>Assegurar a eficácia no atendimento e no relacionamento com os Arquitetos e Urbanistas e a Sociedade</t>
  </si>
  <si>
    <t>Ampliação da comunicação direta com os profissionais, a fim de propor soluções para demandas críticas e promover melhorias gerais no atendimento.</t>
  </si>
  <si>
    <t>NOVO</t>
  </si>
  <si>
    <t>Assessoria de Comunicação (Ascom)</t>
  </si>
  <si>
    <t xml:space="preserve"> Manter e Desenvolver as Atividades da Assessoria de Comunicação</t>
  </si>
  <si>
    <t>Fortalecer a imagem do CAU/MG e garantir a divulgação das informações da autarquia para a sociedade.</t>
  </si>
  <si>
    <t>Acompanhamento da produção, desenvolvimento e distribuição de cartilhas e divulgação de campanhas; Demandas administrativas relativas a assessoria.</t>
  </si>
  <si>
    <t>Gerência Geral (Gergel)</t>
  </si>
  <si>
    <t xml:space="preserve">Manter e Desenvolver as Atividades da Assessoria de Eventos </t>
  </si>
  <si>
    <t>Promover a arquitetura e urbanismo em Minas Gerais através do contato e participação de profissionais e sociedade.</t>
  </si>
  <si>
    <t>Realização de eventos de integração e de esclarecimentos para profissionais e sociedade sobre Arquitetura e Urbanismo.</t>
  </si>
  <si>
    <t xml:space="preserve"> Manter e Desenvolver as Atividades da Gerência Geral</t>
  </si>
  <si>
    <t>Cumprir as atribuições da Gerência Geral conforme atos administrativos do CAU/MG.</t>
  </si>
  <si>
    <t>05 - Igualdade de gênero</t>
  </si>
  <si>
    <t>Integração das atividades realizadas pelas unidades administrativas do CAU/MG.</t>
  </si>
  <si>
    <t>Mudança e adequações da nova sede e escritórios descentralizados do CAU/MG</t>
  </si>
  <si>
    <t>Ocupar espaço físico qualificado e acessível à sociedade para cumprir a finalidade precípua da autarquia.</t>
  </si>
  <si>
    <t>Ocupação de nova sede que comporte com qualidade seu Quadro de Pessoal projetado, mais atividades e reuniões de seus órgãos colegiados, além de economia financeira com custeios de Sede.</t>
  </si>
  <si>
    <t>Secretaria Geral</t>
  </si>
  <si>
    <t xml:space="preserve"> Manter e Desenvolver as Atividades da Secretaria Geral</t>
  </si>
  <si>
    <t>Cumprir as atribuições da Secretaria Geral conforme atos administrativos do CAU/MG.</t>
  </si>
  <si>
    <t>Documentos e correspondências oficiais elaborados; gestão documental da Presidência realizada; cotação de preços realizada.</t>
  </si>
  <si>
    <t>Gerência Técnica  de Fiscalização (Gertef) - Coordenação Fiscalização</t>
  </si>
  <si>
    <t>Manter e Desenvolver as Atividades de Coordenação da Fiscalização da GERTEF</t>
  </si>
  <si>
    <t>Cumprir a finalidade precípua do Conselho, garantindo a fiscalização do exercício profissional.</t>
  </si>
  <si>
    <t>Planejamento e execução das ações de fiscalização.</t>
  </si>
  <si>
    <t>Gerência Técnica  de Fiscalização (Gertef) - Rotas</t>
  </si>
  <si>
    <t>Fiscalização Itinerante / Rotas</t>
  </si>
  <si>
    <t>Promover a atuação itinerante do CAU/MG e mesmo as ações de fiscalização que envolvam uso de veículo.</t>
  </si>
  <si>
    <t>Ampliação da atuação da Fiscalização Itinerante do CAU/MG, não apenas nas cidades onde há a presença dos fiscais, mas também em outros municípios mineiros.</t>
  </si>
  <si>
    <t>Gerência Técnica e Fiscalização (Gertef) -  Coordenação de Fiscalização</t>
  </si>
  <si>
    <t>Centro de Serviços Compartilhados (CSC) - Fiscalização</t>
  </si>
  <si>
    <t>Garantia do funcionamento do CSC e dos demais Sistemas de Informação a ele vinculados.</t>
  </si>
  <si>
    <t>Gerência Técnica  de Fiscalização (Gertef) - Coordenação Técnica</t>
  </si>
  <si>
    <t>Manter e Desenvolver as Atividades de Coordenação Técnica da GERTEF</t>
  </si>
  <si>
    <t>Manter a regularidade dos registros, anotação de títulos e acervo do profissional.</t>
  </si>
  <si>
    <t>Atendimento de solicitações e cumprimento dos prazos previstos na Carta de Serviços e normativos do CAU/BR; realização do assessoramento de Comissões.</t>
  </si>
  <si>
    <t>Gerência Técnica e Fiscalização (Gertef) -  Coordenação Técnica</t>
  </si>
  <si>
    <t>Centro de Serviços Compartilhados (CSC) - Atendimento</t>
  </si>
  <si>
    <t>Assegurar o funcionamento do Centro de Serviços Compartilhados e Fundo de Reserva CSC relacionadas ao Atendimento.</t>
  </si>
  <si>
    <t>Gerência Jurídica (Gerjur)</t>
  </si>
  <si>
    <t>Manter e Desenvolver as Atividades da Gerência Jurídica</t>
  </si>
  <si>
    <t>Preservar a imagem jurídica do CAU/MG e observar a legalidade dos processos internos.</t>
  </si>
  <si>
    <t>Ajuizamento e defesa em ações do CAU/MG na Justiça; Cumprimento dos expedientes de rotina atribuída à Gerência pelos atos normativos do CAU/MG.</t>
  </si>
  <si>
    <t>Gerência Administrativa e Financeira (GAF)</t>
  </si>
  <si>
    <t>Fundo de Apoio aos CAU/UF</t>
  </si>
  <si>
    <t>Assegurar a sustentabilidade financeira do Sistema do CAU, apoiando os CAU/UF básicos.</t>
  </si>
  <si>
    <t>Garantia da sustentabilidade do Fundo de Apoio do CAU.</t>
  </si>
  <si>
    <t>Reserva de Contingência</t>
  </si>
  <si>
    <t>Manter o Fundo para despesas não planejadas.</t>
  </si>
  <si>
    <t>Fomento de despesas extraordinárias do CAU/MG efetivado.</t>
  </si>
  <si>
    <t>Manter e Desenvolver as Atividades da Gerência Administrativa e Financeira</t>
  </si>
  <si>
    <t>Observar a Sustentabilidade Financeira do CAU/MG e acompanhar a execução orçamentária e financeira.</t>
  </si>
  <si>
    <r>
      <t>Desenvolvimento pleno das rotinas administrativas e financeiras do CAU/MG; Garantia da sustentabilidade financeira do CAU/MG;</t>
    </r>
    <r>
      <rPr>
        <sz val="12"/>
        <color rgb="FFFF0000"/>
        <rFont val="Calibri"/>
        <family val="2"/>
        <scheme val="minor"/>
      </rPr>
      <t xml:space="preserve"> Elaboração e consolidação das propostas de Programação e Reprogramação Orçamentária.</t>
    </r>
  </si>
  <si>
    <t>Gerência Especial de Planejamento e Gestão Estratégica (Geplan)</t>
  </si>
  <si>
    <t>Manter e Desenvolver as Atividades da Gerência Especial de Planejamento e Gestão Estratégica</t>
  </si>
  <si>
    <t>Elaboração dos Planos de Ação; Termos de cooperação técnica com municípios e órgãos públicos; Apoio à Presidência; Acompanhamento dos Indicadores Estratégicos revisados; Elaboração e consolidação das propostas de Programação e Reprogramação Orçamentária; Elaboração e consolidação dos Relatórios de Gestão; Atualização do fluxo de trabalho de processos operacionais padrão (POP).</t>
  </si>
  <si>
    <t>Escritório Descentralizado Norte Minas</t>
  </si>
  <si>
    <t>Manter e Desenvolver as Atividades do Escritório Descentralizado Norte de Minas</t>
  </si>
  <si>
    <t>Cumprir a finalidade precípua do Conselho, garantindo a fiscalização do exercício profissional na Regional Norte de Minas.</t>
  </si>
  <si>
    <t>Desenvolvimento das ações de atendimento planejadas para a Regional.</t>
  </si>
  <si>
    <t>Escritório Descentralizado Triângulo Mineiro e Alto Paranaíba</t>
  </si>
  <si>
    <t>Manter e Desenvolver as Atividades do Escritório Descentralizado Triângulo Mineiro e Alto Paranaíba</t>
  </si>
  <si>
    <t>Cumprir a finalidade precípua do Conselho, garantindo a fiscalização do exercício profissional na Regional Triângulo Mineiro e Alto Paranaíba.</t>
  </si>
  <si>
    <t>Escritório Descentralizado Zona da Mata e Vertentes</t>
  </si>
  <si>
    <t>Manter e Desenvolver as Atividades do Escritório Descentralizado Zona da Mata e Vertentes.</t>
  </si>
  <si>
    <t>Cumprir a finalidade precípua do Conselho, garantindo a fiscalização do exercício profissional na Regional Zona da Mata e Vertentes.</t>
  </si>
  <si>
    <t>Escritório Descentralizado Sul de Minas</t>
  </si>
  <si>
    <t>Manter e Desenvolver as Atividades do Escritório Descentralizado Sul de Minas</t>
  </si>
  <si>
    <t>Cumprir a finalidade precípua do Conselho, garantindo a fiscalização do exercício profissional na Regional Sul de Minas.</t>
  </si>
  <si>
    <t>Escritório Descentralizado Leste de Minas</t>
  </si>
  <si>
    <t>Manter e Desenvolver as Atividades do Escritório Descentralizado Leste de Minas</t>
  </si>
  <si>
    <t>Cumprir a finalidade precípua do Conselho, garantindo a fiscalização do exercício profissional na Regional Leste de Minas.</t>
  </si>
  <si>
    <t>Colegiado das Entidades Estaduais de Arquitetos e Urbanistas do CAU/MG (CEAU)</t>
  </si>
  <si>
    <t>Manter e Desenvolver as Atividades do Colegiado das Entidades Estaduais de Arquitetos e Urbanistas do CAU/MG</t>
  </si>
  <si>
    <t>Cumprir as competências do Colegiado conforme Regimento Interno e as ações previstas no seu Plano de Trabalho e no Plano de Ação do CAU/MG.</t>
  </si>
  <si>
    <t>Valorizar a Arquitetura e Urbanismo</t>
  </si>
  <si>
    <t>Ações desenvolvidas voltadas à capacitação técnica, valorização profissional e conscientização da sociedade do papel do arquiteto e urbanista; Demandas administrativas relativas ao CEAU realizadas conforme previsões regimentais e pelos normativos do CAU.</t>
  </si>
  <si>
    <t>Edital de Patrocínio para Entidades de Arquitetos e Urbanistas</t>
  </si>
  <si>
    <t>Fortalecer a relação institucional com as entidades de arquitetos e urbanistas no sentido de fomentar o acesso da sociedade à arquitetura e urbanismo.</t>
  </si>
  <si>
    <t>Lançamento de Edital de Patrocínio e firmar convênios específicos com o objetivo de valorizar a Arquitetura e Urbanismo em Minas Gerais.</t>
  </si>
  <si>
    <t>TOTAL</t>
  </si>
  <si>
    <t>COMENTÁRIOS/JUSTIFICATIVAS:</t>
  </si>
  <si>
    <r>
      <rPr>
        <b/>
        <sz val="12"/>
        <color theme="1"/>
        <rFont val="Calibri"/>
        <family val="2"/>
        <scheme val="minor"/>
      </rPr>
      <t>Comentário 01-</t>
    </r>
    <r>
      <rPr>
        <sz val="12"/>
        <color theme="1"/>
        <rFont val="Calibri"/>
        <family val="2"/>
        <scheme val="minor"/>
      </rPr>
      <t xml:space="preserve"> Aporte ao CSC Atendimento: Nas diretrizes para Elaboração do Plano de Ação e Orçamento 2022 constava para o CAU/MG o aporte no valor de R$ 111.232,17 referente aos serviços Teleatendimento (R$ 8.538,50) e RIA (R$ 102.693,67). Contudo, o CAU/MG realizou junto ao CAU/BR a locação dos aparelhos de leitura biométrica no valor de R$ 18.518,40 ( pagamento mensal de R$ 1.543,20). Portanto, o Aporte do CAU/MG ao CSC atendimento passou a totalizar o valor de R$ 129.750,57.</t>
    </r>
  </si>
  <si>
    <t>Orientação:  Na proposta da Programação 2022, para as receitas  de Arrecadação - anuidades de PF e PJ  (do exercício 2022 e dos exercícios anteriores), RRT, taxas e multas, devem ser considerados os valores constantes das Diretrizes da Programação 2022. 
Caso o CAU/UF apresente projeções de receitas divergentes das aprovadas nas Direrizes da Programação 2022, é necessário justificar a alteração e nos informar qual a nova posição do CAU/UF em relação às quantidades e inadimplências aplicadas às projeções de 2022 (PF; PJ; RRT; Taxas e Multas). Para tanto, deve-se utilizar a Minuta das Diretrizes da Programação 2022 e encaminhá-la à GERPLAN.
As receitas de exercícios anteriores devem ser projetadas no mínimo de 10% do valor total a ser arrecadado por cada CAU/UF.  As células sinalizadas, em cinza, são fórmulas e não devem ser modificadas. Verificar os comentários colocando o cursor na célula correspondente, no cabeçalho.</t>
  </si>
  <si>
    <t>CAU/UF: Minas Gerais</t>
  </si>
  <si>
    <t>1- Foi realizada a correção do CSC- Atendimento, a Locação de aparelhos de Leitura Biométrica foram alocados no Centro de Custos da Coordenação Técnica da GERTEF                                                                    2- Valores Validados</t>
  </si>
  <si>
    <t>Anexo 1 - Demonstrativo de Fontes e Aplicações - Programação 2022</t>
  </si>
  <si>
    <t>Valores em R$ 1,00</t>
  </si>
  <si>
    <t>Especificação</t>
  </si>
  <si>
    <t>Reprogramação 2021
 (A)</t>
  </si>
  <si>
    <t>Programação 2022
  (B)</t>
  </si>
  <si>
    <t xml:space="preserve">Part. %
 (E)           </t>
  </si>
  <si>
    <t>Valores
 (C=B-A)</t>
  </si>
  <si>
    <t>%       
 (D=C/A)</t>
  </si>
  <si>
    <t>A - FONTES</t>
  </si>
  <si>
    <t>1. Receitas Correntes</t>
  </si>
  <si>
    <t>1.1 Receitas de Arrecadação Total</t>
  </si>
  <si>
    <t>1.1.1 Anuidades</t>
  </si>
  <si>
    <t>1.1.1.1 Pessoa Física</t>
  </si>
  <si>
    <t>1.1.1.1.1 Anuidade do Exercício 2022</t>
  </si>
  <si>
    <t>1.1.1.1.2 Anuidade Exercícios anteriores</t>
  </si>
  <si>
    <t>1.1.1.2 Pessoa Jurídica</t>
  </si>
  <si>
    <t>1.1.1.2.1 Anuidade do Exercício 2022</t>
  </si>
  <si>
    <t>1.1.1.2.2 Anuidade Exercícios anteriores</t>
  </si>
  <si>
    <t>1.1.3 RRT</t>
  </si>
  <si>
    <t>1.1.4 Taxas e Multas</t>
  </si>
  <si>
    <t>1.2 Aplicações Financeiras</t>
  </si>
  <si>
    <t>1.3 Outras Receitas Correntes</t>
  </si>
  <si>
    <t>1.4 Fundo de Apoio</t>
  </si>
  <si>
    <t>2. Receitas de Capital</t>
  </si>
  <si>
    <t>2.1 Saldos de Exercícios Anteriores (Superávit Financeiro)</t>
  </si>
  <si>
    <t>2.2 Outras Receitas de Capital</t>
  </si>
  <si>
    <t xml:space="preserve"> I – TOTAL</t>
  </si>
  <si>
    <t>B. APLICAÇÕES</t>
  </si>
  <si>
    <t>1. Programação Operacional</t>
  </si>
  <si>
    <t>1.1 Projetos</t>
  </si>
  <si>
    <t>1.2 Projetos Específicos</t>
  </si>
  <si>
    <t>1.3 Atividades</t>
  </si>
  <si>
    <t>2. Aportes ao Fundo de Apoio</t>
  </si>
  <si>
    <t xml:space="preserve">3. Aporte ao CSC </t>
  </si>
  <si>
    <t>4. Reserva de Contingência</t>
  </si>
  <si>
    <t>II – TOTAL</t>
  </si>
  <si>
    <t>VARIAÇÃO (I-II)</t>
  </si>
  <si>
    <t>RESUMO DA PROGRAMAÇÃO 2022 - POR CATEGORIA ECONÔMICA</t>
  </si>
  <si>
    <t xml:space="preserve">CATEGORIA ECONÔMICA </t>
  </si>
  <si>
    <t>FONTES (R$)</t>
  </si>
  <si>
    <t>APLICAÇÃO (R$)</t>
  </si>
  <si>
    <t>Reprogramação 
2021 
(A)</t>
  </si>
  <si>
    <t>Programação 
2022 
(B)</t>
  </si>
  <si>
    <t>Variação
(%)</t>
  </si>
  <si>
    <t>Corrente</t>
  </si>
  <si>
    <t xml:space="preserve">Capital </t>
  </si>
  <si>
    <t>Total</t>
  </si>
  <si>
    <t>Correntes
(R$)</t>
  </si>
  <si>
    <t>Capital
(R$)</t>
  </si>
  <si>
    <t>TOTAL
(R$)</t>
  </si>
  <si>
    <t>I - Receitas</t>
  </si>
  <si>
    <t>II - Despesas</t>
  </si>
  <si>
    <t>Superávit Financeiro para Projetos Específicos</t>
  </si>
  <si>
    <t>Informações</t>
  </si>
  <si>
    <t>I - Superávit financeiro acumulado em 2020</t>
  </si>
  <si>
    <t>II - Despesas de capital</t>
  </si>
  <si>
    <t>III - Projetos específicos</t>
  </si>
  <si>
    <t>A. Saldo IV = (I-II-III)</t>
  </si>
  <si>
    <t>III a - Percentual de utilização para capital</t>
  </si>
  <si>
    <t>III b - Percentual de utilização para PE</t>
  </si>
  <si>
    <t>Deliberação que aprova PE</t>
  </si>
  <si>
    <t>Comentário 02: a rubrica Outras Receitas Correntes corresponde ao valor previsto, nas Diretrizes  para Elaboração do Plano de Ação e Orçamento 2022,para o ressarcimento de tarifas pelo CAU/BR;  Comentário 03: Não será utilizado o superávit dos exercícios anteriores para a execução das despesas de capital previstas com aquisição de itens do imobilizado. Mas como a planilha está protegida não é possível apagar os R$ 70.000,00 que consta como utilização do Superávit dos Exercícios Anteriores.</t>
  </si>
  <si>
    <t>Orientação: As células em cinza estão vinculadas com fórmulas, não devem ser preenchidas.</t>
  </si>
  <si>
    <t>Anexo 2 - Limites de Aplicação dos Recursos Estratégicos - Programação 2022</t>
  </si>
  <si>
    <t>BASE DE CÁLCULO</t>
  </si>
  <si>
    <t>APLICAÇÕES DE RECURSOS</t>
  </si>
  <si>
    <t>Reprogramação
 2021</t>
  </si>
  <si>
    <t>Programação
 2022</t>
  </si>
  <si>
    <t>Variação (%)</t>
  </si>
  <si>
    <t>\</t>
  </si>
  <si>
    <t xml:space="preserve">FOLHA DE PAGAMENTO </t>
  </si>
  <si>
    <t>Análise CAU/BR</t>
  </si>
  <si>
    <t xml:space="preserve">1. Receita de Arrecadação Total </t>
  </si>
  <si>
    <t>A. Pessoal e Encargos (Valores totais)</t>
  </si>
  <si>
    <t>2. Recursos do fundo de apoio (CAU Básico)</t>
  </si>
  <si>
    <t>B. Valor total das rescisões contratuais, auxílio alimentação, auxílio transporte, plano de saúde e demais benefícios.</t>
  </si>
  <si>
    <t>3. Soma (1+2)</t>
  </si>
  <si>
    <t>C. Receitas Correntes</t>
  </si>
  <si>
    <t>4. Aportes ao Fundo de Apoio</t>
  </si>
  <si>
    <t>5.  Receita da Arrecadação Líquida (RAL = 3 - 4)</t>
  </si>
  <si>
    <t xml:space="preserve">BASE DE CÁLCULO </t>
  </si>
  <si>
    <t>LIMITES</t>
  </si>
  <si>
    <t>Variação</t>
  </si>
  <si>
    <t xml:space="preserve">Variação </t>
  </si>
  <si>
    <r>
      <t xml:space="preserve">Fiscalização
</t>
    </r>
    <r>
      <rPr>
        <b/>
        <sz val="12"/>
        <color rgb="FF006871"/>
        <rFont val="Calibri"/>
        <family val="2"/>
        <scheme val="minor"/>
      </rPr>
      <t xml:space="preserve">(mínimo de 15 % do total da RAL)  </t>
    </r>
    <r>
      <rPr>
        <b/>
        <sz val="12"/>
        <color rgb="FF009999"/>
        <rFont val="Calibri"/>
        <family val="2"/>
        <scheme val="minor"/>
      </rPr>
      <t xml:space="preserve">  </t>
    </r>
    <r>
      <rPr>
        <b/>
        <sz val="12"/>
        <color indexed="8"/>
        <rFont val="Calibri"/>
        <family val="2"/>
        <scheme val="minor"/>
      </rPr>
      <t xml:space="preserve">                                                                     </t>
    </r>
  </si>
  <si>
    <t>Valor</t>
  </si>
  <si>
    <r>
      <t xml:space="preserve"> Despesas com Pessoal
</t>
    </r>
    <r>
      <rPr>
        <b/>
        <sz val="12"/>
        <color rgb="FF006871"/>
        <rFont val="Calibri"/>
        <family val="2"/>
        <scheme val="minor"/>
      </rPr>
      <t>(máximo de 55% sobre as Receitas Correntes)</t>
    </r>
  </si>
  <si>
    <t xml:space="preserve">% </t>
  </si>
  <si>
    <r>
      <t xml:space="preserve">Atendimento
</t>
    </r>
    <r>
      <rPr>
        <b/>
        <sz val="12"/>
        <color rgb="FF006871"/>
        <rFont val="Calibri"/>
        <family val="2"/>
        <scheme val="minor"/>
      </rPr>
      <t>(mínimo de 10 % do total da RAL)</t>
    </r>
  </si>
  <si>
    <r>
      <t>Capacitação</t>
    </r>
    <r>
      <rPr>
        <b/>
        <sz val="12"/>
        <color indexed="10"/>
        <rFont val="Calibri"/>
        <family val="2"/>
        <scheme val="minor"/>
      </rPr>
      <t xml:space="preserve"> 
</t>
    </r>
    <r>
      <rPr>
        <b/>
        <sz val="12"/>
        <color rgb="FF006871"/>
        <rFont val="Calibri"/>
        <family val="2"/>
        <scheme val="minor"/>
      </rPr>
      <t>(mínimo de 2% e máximo de 4% da Folha de Pagamento)</t>
    </r>
    <r>
      <rPr>
        <b/>
        <sz val="12"/>
        <color theme="4" tint="-0.249977111117893"/>
        <rFont val="Calibri"/>
        <family val="2"/>
        <scheme val="minor"/>
      </rPr>
      <t xml:space="preserve">  </t>
    </r>
    <r>
      <rPr>
        <b/>
        <sz val="12"/>
        <rFont val="Calibri"/>
        <family val="2"/>
        <scheme val="minor"/>
      </rPr>
      <t xml:space="preserve">      </t>
    </r>
    <r>
      <rPr>
        <b/>
        <sz val="12"/>
        <color rgb="FF0070C0"/>
        <rFont val="Calibri"/>
        <family val="2"/>
        <scheme val="minor"/>
      </rPr>
      <t xml:space="preserve"> </t>
    </r>
    <r>
      <rPr>
        <b/>
        <sz val="12"/>
        <color indexed="57"/>
        <rFont val="Calibri"/>
        <family val="2"/>
        <scheme val="minor"/>
      </rPr>
      <t xml:space="preserve">         </t>
    </r>
  </si>
  <si>
    <r>
      <t xml:space="preserve">Comunicação
</t>
    </r>
    <r>
      <rPr>
        <b/>
        <sz val="12"/>
        <color rgb="FF006871"/>
        <rFont val="Calibri"/>
        <family val="2"/>
        <scheme val="minor"/>
      </rPr>
      <t>(mínimo de 3% do total da RAL)</t>
    </r>
    <r>
      <rPr>
        <b/>
        <sz val="12"/>
        <color rgb="FF0070C0"/>
        <rFont val="Calibri"/>
        <family val="2"/>
        <scheme val="minor"/>
      </rPr>
      <t xml:space="preserve">    </t>
    </r>
    <r>
      <rPr>
        <b/>
        <sz val="12"/>
        <color indexed="21"/>
        <rFont val="Calibri"/>
        <family val="2"/>
        <scheme val="minor"/>
      </rPr>
      <t xml:space="preserve">         </t>
    </r>
    <r>
      <rPr>
        <b/>
        <sz val="12"/>
        <color indexed="57"/>
        <rFont val="Calibri"/>
        <family val="2"/>
        <scheme val="minor"/>
      </rPr>
      <t xml:space="preserve">                                                                                </t>
    </r>
  </si>
  <si>
    <t>OBS 1:  Vedada a inobservância de aplicação dos percentuais:
Atendimento - mínimo de 10% da RAL
Fiscalização – mínimo de 15% da RAL
Despesa com pessoal – até 55% das receitas correntes
Comunicação - mínimo de 3% da RAL
Objetivos Locais - mínimo de 6% da RAL
Patrocínios - máximo de 5% da RAL
ATHIS - mínimo de 2% da RAL
Reserva de Contingência - até 2% da RAL</t>
  </si>
  <si>
    <t>OBS 2: Os órgãos deliberativos dos CAU/UF poderão, mediante as justificativas próprias, Flexibilizar a aplicação de recursos mínimos e máximos na Programação do Plano de Ação e Orçamento de 2022, nos seguintes itens de despesas:
Capacitação – mínimo de 2% e máximo de 4% da folha de pagamento.
Apresentar justificativa no campo abaixo.</t>
  </si>
  <si>
    <r>
      <t xml:space="preserve">Patrocínio
</t>
    </r>
    <r>
      <rPr>
        <b/>
        <sz val="12"/>
        <color rgb="FF006871"/>
        <rFont val="Calibri"/>
        <family val="2"/>
        <scheme val="minor"/>
      </rPr>
      <t>(máximo de 5% do total da RAL)</t>
    </r>
    <r>
      <rPr>
        <b/>
        <sz val="12"/>
        <color theme="4" tint="-0.249977111117893"/>
        <rFont val="Calibri"/>
        <family val="2"/>
        <scheme val="minor"/>
      </rPr>
      <t xml:space="preserve">   </t>
    </r>
    <r>
      <rPr>
        <b/>
        <sz val="12"/>
        <color indexed="10"/>
        <rFont val="Calibri"/>
        <family val="2"/>
        <scheme val="minor"/>
      </rPr>
      <t xml:space="preserve">      </t>
    </r>
    <r>
      <rPr>
        <b/>
        <sz val="12"/>
        <color indexed="8"/>
        <rFont val="Calibri"/>
        <family val="2"/>
        <scheme val="minor"/>
      </rPr>
      <t xml:space="preserve">                                                                            </t>
    </r>
  </si>
  <si>
    <r>
      <t xml:space="preserve">Objetivos Estratégicos Locais
</t>
    </r>
    <r>
      <rPr>
        <b/>
        <sz val="12"/>
        <color rgb="FF006871"/>
        <rFont val="Calibri"/>
        <family val="2"/>
        <scheme val="minor"/>
      </rPr>
      <t>(mínimo de 6 % do total da RAL)</t>
    </r>
    <r>
      <rPr>
        <b/>
        <sz val="12"/>
        <color theme="4" tint="-0.249977111117893"/>
        <rFont val="Calibri"/>
        <family val="2"/>
        <scheme val="minor"/>
      </rPr>
      <t xml:space="preserve"> </t>
    </r>
    <r>
      <rPr>
        <b/>
        <sz val="12"/>
        <color indexed="21"/>
        <rFont val="Calibri"/>
        <family val="2"/>
        <scheme val="minor"/>
      </rPr>
      <t xml:space="preserve">                        </t>
    </r>
  </si>
  <si>
    <r>
      <t xml:space="preserve">Assistência Técnica
</t>
    </r>
    <r>
      <rPr>
        <b/>
        <sz val="12"/>
        <color rgb="FF006871"/>
        <rFont val="Calibri"/>
        <family val="2"/>
        <scheme val="minor"/>
      </rPr>
      <t xml:space="preserve">(mínimo de 2% do total da RAL) </t>
    </r>
    <r>
      <rPr>
        <b/>
        <sz val="12"/>
        <color theme="1"/>
        <rFont val="Calibri"/>
        <family val="2"/>
        <scheme val="minor"/>
      </rPr>
      <t xml:space="preserve">   </t>
    </r>
  </si>
  <si>
    <r>
      <t xml:space="preserve">Reserva de Contingência
</t>
    </r>
    <r>
      <rPr>
        <b/>
        <sz val="12"/>
        <color rgb="FF006871"/>
        <rFont val="Calibri"/>
        <family val="2"/>
        <scheme val="minor"/>
      </rPr>
      <t xml:space="preserve">(até 2 % do total da RAL)   </t>
    </r>
    <r>
      <rPr>
        <b/>
        <sz val="12"/>
        <color indexed="21"/>
        <rFont val="Calibri"/>
        <family val="2"/>
        <scheme val="minor"/>
      </rPr>
      <t xml:space="preserve">           </t>
    </r>
  </si>
  <si>
    <t>JUSTIFICATIVA - quando da flexibilização da aplicação de recursos mínimos e máximos do limite estratégico de Capacitação do Plano de Ação e Orçamento de 2022.</t>
  </si>
  <si>
    <t xml:space="preserve">Benefícios de Pessoal previsto de R$ 1.153.078,93 composto por Auxílio Alimentação (R$ 479.415,37), Reembolso de Plano de Saúde (R$ 609.948,54), Auxílio Creche (R$ 28.715,02) e Vale Transporte (R$ 35.000,00);                                                                                                                                                                                                                                                                                                                                                                                                                                               Flexibilização do Limite mínimo de 2%  da Folha de Pagamento aplicado em Capacitação-  o CAU/MG na programação orçamentária ora enviada ajustou seu orçamento de modo a comportar o cumprimento de todos os percentuais mínimos e máximos normalmente estabelecidos e vinculados a Receita de Arrecadação Líquida (RAL). A exceção se deu no limite “Capacitação" pois devido a pandemia da COVID-19  a maioria dos cursos, treinamentos/capacitações passaram a ser ofertados  na modalide online e com isso há uma diminuição nos custos de participação/ aquisição dos cursos, além da inexistência dos gastos com o deslocamento e hospedagem dos empregados para realização dos mesmos. Ademais em análise aos valores dispendidos com o centro de Custos "Capacitações" nos primeiros dez meses do ano de 2021 nota-se execução inferior a 20% do orçado. Diante do exposto, o CAU/MG optou pelo não cumprimento do limite mínimo estratégico alocado na rubrica de “Capacitação”. 
</t>
  </si>
  <si>
    <t>Orientação:  As células sinalizadas, em cinza, são fórmulas e não devem ser modificadas.</t>
  </si>
  <si>
    <t>Anexo 3- Aplicações por Projeto/Atividade - por Elemento de Despesa (Consolidado) - Programação 2022</t>
  </si>
  <si>
    <t>Denominação (Projeto/Atividade)</t>
  </si>
  <si>
    <t>Programação 2022</t>
  </si>
  <si>
    <t>Pessoal</t>
  </si>
  <si>
    <t>Material de Consumo</t>
  </si>
  <si>
    <t>Serviços de Terceiros</t>
  </si>
  <si>
    <t>Transferências Correntes</t>
  </si>
  <si>
    <t xml:space="preserve">Reserva de 
Contingência </t>
  </si>
  <si>
    <t>Encargos Diversos</t>
  </si>
  <si>
    <t>Soma</t>
  </si>
  <si>
    <t>Imobilizado</t>
  </si>
  <si>
    <t>% Part.</t>
  </si>
  <si>
    <t>Pessoal e Encargos</t>
  </si>
  <si>
    <t>Diárias</t>
  </si>
  <si>
    <t>Passagens</t>
  </si>
  <si>
    <t>Serviços Prestados</t>
  </si>
  <si>
    <t>P / A / PE</t>
  </si>
  <si>
    <t>Obj. Estratégico</t>
  </si>
  <si>
    <t>TOTAL GERAL</t>
  </si>
  <si>
    <t>Orientações de Preenchimento dos Elementos de Despesas:</t>
  </si>
  <si>
    <r>
      <t>Os itens de custo devem ser:
•</t>
    </r>
    <r>
      <rPr>
        <b/>
        <sz val="12"/>
        <color theme="1"/>
        <rFont val="Calibri"/>
        <family val="2"/>
        <scheme val="minor"/>
      </rPr>
      <t xml:space="preserve"> Pessoal (Salários, Encargos e Benefícios) </t>
    </r>
    <r>
      <rPr>
        <sz val="12"/>
        <color theme="1"/>
        <rFont val="Calibri"/>
        <family val="2"/>
        <scheme val="minor"/>
      </rPr>
      <t xml:space="preserve">
a) Pessoal e Encargos:  compreende salários; gratificações; 13º salário; férias; 1/3 férias, abono e horas extras; INSS; FGTS e PIS; vale transporte, auxílio alimentação, plano de saúde e outros benefícios.
b) Diárias – compreende diárias de funcionários com vínculo empregatício com o Conselho.
</t>
    </r>
    <r>
      <rPr>
        <b/>
        <sz val="12"/>
        <color theme="1"/>
        <rFont val="Calibri"/>
        <family val="2"/>
        <scheme val="minor"/>
      </rPr>
      <t>• Material de Consumo</t>
    </r>
    <r>
      <rPr>
        <sz val="12"/>
        <color theme="1"/>
        <rFont val="Calibri"/>
        <family val="2"/>
        <scheme val="minor"/>
      </rPr>
      <t xml:space="preserve"> – compreende material de expediente; informática; e outros materiais de consumo que não sejam classificados como material permanente. 
</t>
    </r>
    <r>
      <rPr>
        <b/>
        <sz val="12"/>
        <color theme="1"/>
        <rFont val="Calibri"/>
        <family val="2"/>
        <scheme val="minor"/>
      </rPr>
      <t xml:space="preserve">• Serviços de Terceiros: </t>
    </r>
    <r>
      <rPr>
        <sz val="12"/>
        <color theme="1"/>
        <rFont val="Calibri"/>
        <family val="2"/>
        <scheme val="minor"/>
      </rPr>
      <t xml:space="preserve">
a) Diárias – compreende diárias do presidente, de conselheiros e de convidados.
b) Passagens – compreende passagens de funcionários, presidente, conselheiros, e convidados.
c) Serviços Prestados (PF e PJ) – compreende todo serviço prestado por pessoa jurídica como: consultorias; serviços de comunicação e divulgação; manutenção de sistemas informatizados; locação de bens móveis e imóveis, condomínios, reparos e conservação de bens móveis e imóveis; serviços de água e energia elétrica; correios; telecomunicações e outras despesas correntes não classificáveis nos itens anteriores e  remunerações de serviços prestados por pessoa física; remuneração de estagiários, e remuneração de menores aprendizes.
</t>
    </r>
    <r>
      <rPr>
        <b/>
        <sz val="12"/>
        <color theme="1"/>
        <rFont val="Calibri"/>
        <family val="2"/>
        <scheme val="minor"/>
      </rPr>
      <t>. Transferências Correntes</t>
    </r>
    <r>
      <rPr>
        <sz val="12"/>
        <color theme="1"/>
        <rFont val="Calibri"/>
        <family val="2"/>
        <scheme val="minor"/>
      </rPr>
      <t xml:space="preserve">: compreende os repasses ao Fundo de Apoio; os repasses ao Centro de Serviço Compartilhado - CSC; convênios, acordos, ajuda as entidades e patrocínios.
</t>
    </r>
    <r>
      <rPr>
        <b/>
        <sz val="12"/>
        <color theme="1"/>
        <rFont val="Calibri"/>
        <family val="2"/>
        <scheme val="minor"/>
      </rPr>
      <t xml:space="preserve">. Reserva de Contingência: </t>
    </r>
    <r>
      <rPr>
        <sz val="12"/>
        <color theme="1"/>
        <rFont val="Calibri"/>
        <family val="2"/>
        <scheme val="minor"/>
      </rPr>
      <t xml:space="preserve">compreende as despesas não previstas no plano de ação.
</t>
    </r>
    <r>
      <rPr>
        <b/>
        <sz val="12"/>
        <color theme="1"/>
        <rFont val="Calibri"/>
        <family val="2"/>
        <scheme val="minor"/>
      </rPr>
      <t>. Encargos Diversos –</t>
    </r>
    <r>
      <rPr>
        <sz val="12"/>
        <color theme="1"/>
        <rFont val="Calibri"/>
        <family val="2"/>
        <scheme val="minor"/>
      </rPr>
      <t xml:space="preserve"> compreende as taxas bancárias; impostos e taxas diversas; despesas judiciais; e outros encargos.
</t>
    </r>
    <r>
      <rPr>
        <b/>
        <sz val="12"/>
        <color theme="1"/>
        <rFont val="Calibri"/>
        <family val="2"/>
        <scheme val="minor"/>
      </rPr>
      <t xml:space="preserve">. Imobilizado </t>
    </r>
    <r>
      <rPr>
        <sz val="12"/>
        <color theme="1"/>
        <rFont val="Calibri"/>
        <family val="2"/>
        <scheme val="minor"/>
      </rPr>
      <t>– compreende os investimentos como: aquisição de equipamentos e materiais permanentes; aquisição de imóveis; e outros investimentos.</t>
    </r>
  </si>
  <si>
    <t>PREENCHIMENTO FACULTATIVO: Anexo 4 - Quadro Descritivo de Ações e Metas do Plano de Ação - Programação 2022</t>
  </si>
  <si>
    <t xml:space="preserve">As informações devem ser transcritas para Quadro Geral. As células sinalizadas, em cinza, são fórmulas e não devem ser modificadas.
OBS: As ações estratégias são específicas de cada objetivo estratégico. A opção "Não se aplica" deve ser utilizada quando a ação  descrita não faz parte do rol das "Ações Estratégicas Prioritárias". </t>
  </si>
  <si>
    <t>Denominação do Projeto ou Atividade :</t>
  </si>
  <si>
    <t xml:space="preserve"> </t>
  </si>
  <si>
    <t>Ação</t>
  </si>
  <si>
    <t>Custo da Ação</t>
  </si>
  <si>
    <t xml:space="preserve">Fundo de Apoio </t>
  </si>
  <si>
    <t>Metas Físicas</t>
  </si>
  <si>
    <t>(R$)</t>
  </si>
  <si>
    <t>%
(C=B/A)</t>
  </si>
  <si>
    <t>A custear com Recursos do Fundo de Apoio (R$) 
(D)</t>
  </si>
  <si>
    <t>% Utilização do 
Fundo de Apoio 
(E=D/B)</t>
  </si>
  <si>
    <t>Meta da Ação  (Quant.)</t>
  </si>
  <si>
    <t>Descrições das Ações</t>
  </si>
  <si>
    <t>Ações Estratégicas Prioritárias</t>
  </si>
  <si>
    <t>Reprogramação 
2021
(A)</t>
  </si>
  <si>
    <t>Programação 
2022
(B)</t>
  </si>
  <si>
    <r>
      <rPr>
        <b/>
        <sz val="12"/>
        <rFont val="Calibri"/>
        <family val="2"/>
        <scheme val="minor"/>
      </rPr>
      <t>Realizar o calendário de 12 (doze) Reuniões Ordinárias (Comissões, Conselho Diretor, CEAU e Plenária)</t>
    </r>
    <r>
      <rPr>
        <sz val="12"/>
        <rFont val="Calibri"/>
        <family val="2"/>
        <scheme val="minor"/>
      </rPr>
      <t xml:space="preserve"> para o cumprimento de suas competências regimentais e o desenvolvimento de ações previstas no seu Plano de Trabalho e no Plano Estratégico do CAU/MG para o biênio 2019-2020. </t>
    </r>
  </si>
  <si>
    <t>Ações de Melhoria da Qualidade do Ensino</t>
  </si>
  <si>
    <r>
      <rPr>
        <b/>
        <sz val="12"/>
        <rFont val="Calibri"/>
        <family val="2"/>
        <scheme val="minor"/>
      </rPr>
      <t>Realizar o calendário de seis Reuniões Extraordinárias</t>
    </r>
    <r>
      <rPr>
        <sz val="12"/>
        <rFont val="Calibri"/>
        <family val="2"/>
        <scheme val="minor"/>
      </rPr>
      <t xml:space="preserve"> para a apreciação de demandas extraordinárias e planejamento de novas atividades. </t>
    </r>
  </si>
  <si>
    <t>Custear uma participação dos membros da Comissão em reuniões e eventos de interesse ou previstos pela própria comissão.</t>
  </si>
  <si>
    <t>Não se aplica</t>
  </si>
  <si>
    <t>Premiação de Trabalho de Conclusão de Curso (TCC) - Realizar um evento estadual para a valorização dos cursos de Arquitetura e Urbanismo no ensino e formação profissional</t>
  </si>
  <si>
    <t>Elaborar e realizar um calendário de exposição dos trabalhos premiados na Premiação de TCC para a divulgação em nível estadual da produção dos trabalhos de graduandos em AU.</t>
  </si>
  <si>
    <t>CAU nas Escolas</t>
  </si>
  <si>
    <t>Promover curso gratuito para quem paga o CAU</t>
  </si>
  <si>
    <r>
      <rPr>
        <b/>
        <sz val="12"/>
        <rFont val="Calibri"/>
        <family val="2"/>
        <scheme val="minor"/>
      </rPr>
      <t>Desenvolver com os alunos de arquitetura, uma conscientização das carreiras possíveis, e formas de atuação,</t>
    </r>
    <r>
      <rPr>
        <sz val="12"/>
        <rFont val="Calibri"/>
        <family val="2"/>
        <scheme val="minor"/>
      </rPr>
      <t xml:space="preserve"> criar campanhas para que as empresas possam ver onde o arquiteto pode atuar e fazer diferença.</t>
    </r>
  </si>
  <si>
    <r>
      <rPr>
        <b/>
        <sz val="12"/>
        <rFont val="Calibri"/>
        <family val="2"/>
        <scheme val="minor"/>
      </rPr>
      <t>Criar concursos anualmente para arquitetos recém formados como forma de incentivar a entrada no mercado e ser reconhecido por ele</t>
    </r>
    <r>
      <rPr>
        <sz val="12"/>
        <rFont val="Calibri"/>
        <family val="2"/>
        <scheme val="minor"/>
      </rPr>
      <t>. ( mínimo 5 anos de formado e temas livres)</t>
    </r>
  </si>
  <si>
    <r>
      <rPr>
        <b/>
        <sz val="12"/>
        <rFont val="Calibri"/>
        <family val="2"/>
        <scheme val="minor"/>
      </rPr>
      <t xml:space="preserve">Parceria do CAU com empresas e entidades para fomentar estágios e primeiro emprego. </t>
    </r>
    <r>
      <rPr>
        <sz val="12"/>
        <rFont val="Calibri"/>
        <family val="2"/>
        <scheme val="minor"/>
      </rPr>
      <t>A finalidade é estimular os profissionais e valorizar a Arquitetura e Urbanismo, além de mostrar para a sociedade o caráter essencial da profissão.</t>
    </r>
  </si>
  <si>
    <r>
      <rPr>
        <b/>
        <sz val="12"/>
        <rFont val="Calibri"/>
        <family val="2"/>
        <scheme val="minor"/>
      </rPr>
      <t>Maior articulação do CAU com as Escolas e Cursos de Arquitetura e Urbanismo</t>
    </r>
    <r>
      <rPr>
        <sz val="12"/>
        <rFont val="Calibri"/>
        <family val="2"/>
        <scheme val="minor"/>
      </rPr>
      <t>, também com seu corpo-docente e pesquisadores.</t>
    </r>
  </si>
  <si>
    <r>
      <rPr>
        <b/>
        <sz val="12"/>
        <rFont val="Calibri"/>
        <family val="2"/>
        <scheme val="minor"/>
      </rPr>
      <t>Buscar a participação do CAU/MG nas colações de grau dos cursos de arquitetura e urbanismo do Estado</t>
    </r>
    <r>
      <rPr>
        <sz val="12"/>
        <rFont val="Calibri"/>
        <family val="2"/>
        <scheme val="minor"/>
      </rPr>
      <t>, apresentando resumidamente o CAU/MG, dando boas-vindas a vida profissional e distribuindo materiais de orientação e brindes.</t>
    </r>
  </si>
  <si>
    <t>Criar medidas que Impeçam o exercício profissional de AU decorrente do ensino ofertado em sua totalidade a distância.</t>
  </si>
  <si>
    <r>
      <rPr>
        <b/>
        <sz val="12"/>
        <rFont val="Calibri"/>
        <family val="2"/>
        <scheme val="minor"/>
      </rPr>
      <t>Realizar o calendário de 12 (doze) Reuniões Ordinárias (Comissões, Conselho Diretor e Plenária)</t>
    </r>
    <r>
      <rPr>
        <sz val="12"/>
        <rFont val="Calibri"/>
        <family val="2"/>
        <scheme val="minor"/>
      </rPr>
      <t xml:space="preserve"> para o cumprimento de suas competências regimentais e o desenvolvimento de ações previstas no seu Plano de Trabalho e no Plano Estratégico do CAU/MG para o biênio 2019-2020. </t>
    </r>
  </si>
  <si>
    <t>Melhoria de Processo Ético</t>
  </si>
  <si>
    <r>
      <t xml:space="preserve">Realizar o calendário de </t>
    </r>
    <r>
      <rPr>
        <b/>
        <sz val="12"/>
        <rFont val="Calibri"/>
        <family val="2"/>
        <scheme val="minor"/>
      </rPr>
      <t>15 (quinze) Audiências de Instrução ou Conciliação.</t>
    </r>
    <r>
      <rPr>
        <sz val="12"/>
        <rFont val="Calibri"/>
        <family val="2"/>
        <scheme val="minor"/>
      </rPr>
      <t xml:space="preserve"> </t>
    </r>
  </si>
  <si>
    <t>Audiências de Conciliação</t>
  </si>
  <si>
    <r>
      <t xml:space="preserve">Comunicação - Campanhas: </t>
    </r>
    <r>
      <rPr>
        <b/>
        <sz val="12"/>
        <rFont val="Calibri"/>
        <family val="2"/>
        <scheme val="minor"/>
      </rPr>
      <t>elaborar na rotina de reuniões da Comissão, uma proposta de Campanha de Ética Profissional em formato de diálogo para ser vinculada em formato de áudio (podcast)</t>
    </r>
    <r>
      <rPr>
        <sz val="12"/>
        <rFont val="Calibri"/>
        <family val="2"/>
        <scheme val="minor"/>
      </rPr>
      <t xml:space="preserve"> em veículos de comunicação, com ou sem suporte de imagens, dependendo da mídia, para divulgação do código de ética e disciplina profissional, das funções precípuas do Conselho e orientar a sociedade em que situações pode acionar o CAU/MG nesta área.</t>
    </r>
  </si>
  <si>
    <t>Palestras e campanhas sobre Aspectos Éticos</t>
  </si>
  <si>
    <t>Elaboração de uma proposta de Campanha de Ética Profissional</t>
  </si>
  <si>
    <t>Execução da Campanha de Ética Profissional em 2022</t>
  </si>
  <si>
    <t>Revisão das Deliberações da CED-CAU/MG que instituem procedimentos na tramitação dos processos ético-disciplinares: Deliberações CED-Cau/MG n°s 08/2018 e 02/2019.</t>
  </si>
  <si>
    <r>
      <rPr>
        <b/>
        <sz val="12"/>
        <rFont val="Calibri"/>
        <family val="2"/>
        <scheme val="minor"/>
      </rPr>
      <t xml:space="preserve">Realizar o calendário de 12 (doze) Reuniões Ordinárias (Comissões, Conselho Diretor, CEAU e Plenária) </t>
    </r>
    <r>
      <rPr>
        <sz val="12"/>
        <rFont val="Calibri"/>
        <family val="2"/>
        <scheme val="minor"/>
      </rPr>
      <t xml:space="preserve">para o cumprimento de suas competências regimentais e o desenvolvimento de ações previstas no seu Plano de Trabalho e no Plano Estratégico do CAU/MG, tais como: instruir, apreciar e deliberar sobre julgamento, em primeira instância, de autuação lavrada em processos de fiscalização do exercício profissional, demandas técnicas encaminhadas à CEP, definir diretrizes de fiscalização e elaborar proposta de calendário Projeto Rotas, entre outras. </t>
    </r>
  </si>
  <si>
    <r>
      <rPr>
        <b/>
        <sz val="12"/>
        <rFont val="Calibri"/>
        <family val="2"/>
        <scheme val="minor"/>
      </rPr>
      <t>Ações educativas em ambientes virtuais</t>
    </r>
    <r>
      <rPr>
        <sz val="12"/>
        <rFont val="Calibri"/>
        <family val="2"/>
        <scheme val="minor"/>
      </rPr>
      <t xml:space="preserve"> para promoção de informações sobre o exercício profissional qualificado e inibição do exercício ilegal.</t>
    </r>
  </si>
  <si>
    <t>Fiscalização Orientativa</t>
  </si>
  <si>
    <r>
      <rPr>
        <b/>
        <sz val="12"/>
        <rFont val="Calibri"/>
        <family val="2"/>
        <scheme val="minor"/>
      </rPr>
      <t>Eventos Integradores:</t>
    </r>
    <r>
      <rPr>
        <sz val="12"/>
        <rFont val="Calibri"/>
        <family val="2"/>
        <scheme val="minor"/>
      </rPr>
      <t xml:space="preserve"> Realização de eventos virtuais, com enforque nos locais de abrangência, para promoção das atividades correlatas ao exercício profissional e atuação da Autarquia, viabilizados em parceria com instituições profissionais.</t>
    </r>
  </si>
  <si>
    <r>
      <rPr>
        <b/>
        <sz val="12"/>
        <rFont val="Calibri"/>
        <family val="2"/>
        <scheme val="minor"/>
      </rPr>
      <t>Realização de eventos (inicialmente virtuais), voltadas para o desenvolvimento precoce das responsabilidade profissionais</t>
    </r>
    <r>
      <rPr>
        <sz val="12"/>
        <rFont val="Calibri"/>
        <family val="2"/>
        <scheme val="minor"/>
      </rPr>
      <t>, informação das competências e áreas de atuação da Arquitetura e Urbanismo e inibição do exercício ilegal.</t>
    </r>
  </si>
  <si>
    <t>Cooperação Técnica para Fiscalização</t>
  </si>
  <si>
    <r>
      <rPr>
        <b/>
        <sz val="12"/>
        <rFont val="Calibri"/>
        <family val="2"/>
        <scheme val="minor"/>
      </rPr>
      <t>Elaboração de campanha de conscientização, direcionada aos órgãos pertinentes e os arquitetos que compõem seções técnicas</t>
    </r>
    <r>
      <rPr>
        <sz val="12"/>
        <rFont val="Calibri"/>
        <family val="2"/>
        <scheme val="minor"/>
      </rPr>
      <t>, por meio de mailing, mídias sociais da Autarquia e correspondência postal, buscando a promoção da atuação regular, através da responsabilização técnica pelas atividades que realizam, bem como emissão de RRT de Desempenho de Cargo ou Função Técnica</t>
    </r>
  </si>
  <si>
    <t>Publicações periódicas das ações de fiscalização da Autarquia;</t>
  </si>
  <si>
    <r>
      <rPr>
        <b/>
        <sz val="12"/>
        <rFont val="Calibri"/>
        <family val="2"/>
        <scheme val="minor"/>
      </rPr>
      <t>Aferição das denúncias recebidas pela Autarquia</t>
    </r>
    <r>
      <rPr>
        <sz val="12"/>
        <rFont val="Calibri"/>
        <family val="2"/>
        <scheme val="minor"/>
      </rPr>
      <t>, através dos diversos meios disponibilizados (formulários e protocolos no SICCAU, aplicativos, e-mail, etc.)</t>
    </r>
  </si>
  <si>
    <t>Fiscalização em Obras</t>
  </si>
  <si>
    <r>
      <rPr>
        <b/>
        <sz val="12"/>
        <rFont val="Calibri"/>
        <family val="2"/>
        <scheme val="minor"/>
      </rPr>
      <t>Aferição das listas de aprovação de projetos de edificações e parcelamentos do solo</t>
    </r>
    <r>
      <rPr>
        <sz val="12"/>
        <rFont val="Calibri"/>
        <family val="2"/>
        <scheme val="minor"/>
      </rPr>
      <t>, emitidas pelas municipalidades.</t>
    </r>
  </si>
  <si>
    <r>
      <t>Verificação de participação de Arquitetos e Urbanistas como possível responsável técnico, bem como o Conselho de Arquitetura e Urbanismo  como órgão competente para</t>
    </r>
    <r>
      <rPr>
        <b/>
        <sz val="12"/>
        <rFont val="Calibri"/>
        <family val="2"/>
        <scheme val="minor"/>
      </rPr>
      <t xml:space="preserve"> validação dos documentos emitidos pelo profissional, visando garantir que os certames atendam ao melhor interesse público, além de colaborar para o aperfeiçoamento dos editais</t>
    </r>
    <r>
      <rPr>
        <sz val="12"/>
        <rFont val="Calibri"/>
        <family val="2"/>
        <scheme val="minor"/>
      </rPr>
      <t xml:space="preserve">, garantindo o reconhecimento da Arquitetura e Urbanismo e a valorização profissional no Estado. </t>
    </r>
  </si>
  <si>
    <r>
      <rPr>
        <b/>
        <sz val="12"/>
        <rFont val="Calibri"/>
        <family val="2"/>
        <scheme val="minor"/>
      </rPr>
      <t xml:space="preserve">Verificação das atividades técnicas desenvolvidas em municípios que não possuem Escritório Descentralizado, sob demanda </t>
    </r>
    <r>
      <rPr>
        <sz val="12"/>
        <rFont val="Calibri"/>
        <family val="2"/>
        <scheme val="minor"/>
      </rPr>
      <t>(mediante recebimento de denúncias) e/ou integradas com outras atividades do Conselho, buscando aumentar as ações de fiscalização do CAU/MG, bem como a visibilidade e repercussão do Conselho junto à sociedade mineira, além de garantir a prestação mais qualificada dos serviços de Arquitetura e Urbanismo (com periodicidade aproximada de seis semanas a em cada regional).</t>
    </r>
  </si>
  <si>
    <r>
      <rPr>
        <b/>
        <sz val="12"/>
        <rFont val="Calibri"/>
        <family val="2"/>
        <scheme val="minor"/>
      </rPr>
      <t>Verificação de documentos, placas, peças publicitárias e outros elementos de comunicação</t>
    </r>
    <r>
      <rPr>
        <sz val="12"/>
        <rFont val="Calibri"/>
        <family val="2"/>
        <scheme val="minor"/>
      </rPr>
      <t xml:space="preserve"> analisando se há indicação da responsabilidade técnica referente a projetos, obras e serviços em feiras, exposições e eventos, através da elaboração de registros de responsabilidade técnica (RRT) no âmbito da Arquitetura de Interiores.</t>
    </r>
  </si>
  <si>
    <r>
      <rPr>
        <b/>
        <sz val="12"/>
        <rFont val="Calibri"/>
        <family val="2"/>
        <scheme val="minor"/>
      </rPr>
      <t>Verificação de empresas constituídas e para prestação de serviços relacionados à Arquitetura e Urbanismo</t>
    </r>
    <r>
      <rPr>
        <sz val="12"/>
        <rFont val="Calibri"/>
        <family val="2"/>
        <scheme val="minor"/>
      </rPr>
      <t>, analisando se estão devidamente registradas em situação regular perante os órgãos fiscalizatórios e se os profissionais que compõem seu quadro técnicos efetuaram os respectivos Registro de Responsabilidade Técnica de Cargo ou Função.</t>
    </r>
  </si>
  <si>
    <r>
      <rPr>
        <b/>
        <sz val="12"/>
        <rFont val="Calibri"/>
        <family val="2"/>
        <scheme val="minor"/>
      </rPr>
      <t>Abertura de procedimento fiscalizatório através de levantamento no SICCAU</t>
    </r>
    <r>
      <rPr>
        <sz val="12"/>
        <rFont val="Calibri"/>
        <family val="2"/>
        <scheme val="minor"/>
      </rPr>
      <t>, será aberto processo de fiscalização em face das pessoas jurídicas que não possuem Registro de Responsabilidade Técnica de Cargo ou Função válido – seja por omissão do profissional em elaborá-lo, por desligamento de responsáveis do quadro técnico sem a substituição por outro profissional habilitado ou por identificação de RRT com data expirada.</t>
    </r>
  </si>
  <si>
    <r>
      <rPr>
        <b/>
        <sz val="12"/>
        <rFont val="Calibri"/>
        <family val="2"/>
        <scheme val="minor"/>
      </rPr>
      <t xml:space="preserve">Abertura de procedimento fiscalizatório para regularização dos profissionais que ocupam cargos em órgão públicos </t>
    </r>
    <r>
      <rPr>
        <sz val="12"/>
        <rFont val="Calibri"/>
        <family val="2"/>
        <scheme val="minor"/>
      </rPr>
      <t>cujo desempenho consista no desenvolvimento de quaisquer das atividades, atribuições e campos de atuação privativos de arquitetos e urbanistas, ou compartilhados entre estes e outras profissões regulamentadas, que dependam de habilitação legal e conhecimento técnico.</t>
    </r>
  </si>
  <si>
    <r>
      <rPr>
        <b/>
        <sz val="12"/>
        <rFont val="Calibri"/>
        <family val="2"/>
        <scheme val="minor"/>
      </rPr>
      <t>Abertura de procedimento fiscalizatório para regularização dos docentes de Arquitetura e Urbanismo nas instituições de ensino superior em Minas Gerais</t>
    </r>
    <r>
      <rPr>
        <sz val="12"/>
        <rFont val="Calibri"/>
        <family val="2"/>
        <scheme val="minor"/>
      </rPr>
      <t>, que desempenhem ou ministram atividades de ensino, pesquisa e coordenação de curso, com campos de atuação privativos de arquitetos e urbanistas, ou compartilhados entre estes e outras profissões regulamentadas, que dependam de habilitação legal e conhecimento técnico.</t>
    </r>
  </si>
  <si>
    <r>
      <rPr>
        <b/>
        <sz val="12"/>
        <rFont val="Calibri"/>
        <family val="2"/>
        <scheme val="minor"/>
      </rPr>
      <t>Desenvolvimento de ferramentas de preenchimento automático, através de banco de dados, de histórico, leis e normas</t>
    </r>
    <r>
      <rPr>
        <sz val="12"/>
        <rFont val="Calibri"/>
        <family val="2"/>
        <scheme val="minor"/>
      </rPr>
      <t xml:space="preserve"> em formulários de relatórios de julgamento de processos de fiscalização.</t>
    </r>
  </si>
  <si>
    <t>Plataforma de georreferenciamento</t>
  </si>
  <si>
    <t>16 horas</t>
  </si>
  <si>
    <r>
      <rPr>
        <b/>
        <sz val="12"/>
        <rFont val="Calibri"/>
        <family val="2"/>
        <scheme val="minor"/>
      </rPr>
      <t xml:space="preserve">Sessão semestral entre gestores do CAU/MG, membros da Comissão de Exercício Profissional e sua Assessoria, Gerência, Coordenação e Agentes de Fiscalização </t>
    </r>
    <r>
      <rPr>
        <sz val="12"/>
        <rFont val="Calibri"/>
        <family val="2"/>
        <scheme val="minor"/>
      </rPr>
      <t>para aperfeiçoamento e padronização dos procedimentos, instrução e atualização aceca de normatização vigente e ferramentas disponíveis.</t>
    </r>
  </si>
  <si>
    <t>8 horas</t>
  </si>
  <si>
    <r>
      <rPr>
        <b/>
        <sz val="12"/>
        <rFont val="Calibri"/>
        <family val="2"/>
        <scheme val="minor"/>
      </rPr>
      <t xml:space="preserve">Reunião semestral entre Gerência, Coordenação e Agentes de Fiscalização </t>
    </r>
    <r>
      <rPr>
        <sz val="12"/>
        <rFont val="Calibri"/>
        <family val="2"/>
        <scheme val="minor"/>
      </rPr>
      <t>para aperfeiçoamento e padronização dos procedimentos, instrução e atualização aceca de normatização vigente e ferramentas disponíveis.</t>
    </r>
  </si>
  <si>
    <r>
      <rPr>
        <b/>
        <sz val="12"/>
        <rFont val="Calibri"/>
        <family val="2"/>
        <scheme val="minor"/>
      </rPr>
      <t>Reunião individualizada entre Coordenação e Agente de Fiscalização</t>
    </r>
    <r>
      <rPr>
        <sz val="12"/>
        <rFont val="Calibri"/>
        <family val="2"/>
        <scheme val="minor"/>
      </rPr>
      <t xml:space="preserve"> para treinamento e padronização de procedimentos.</t>
    </r>
  </si>
  <si>
    <r>
      <t xml:space="preserve">Verificação, junto à administração de condomínios, acerca da cobrança documentos de responsabilidade técnica para atividades de construção ou reforma, </t>
    </r>
    <r>
      <rPr>
        <sz val="12"/>
        <rFont val="Calibri"/>
        <family val="2"/>
        <scheme val="minor"/>
      </rPr>
      <t>e em caso negativo, prestar orientação aos administradores e síndicos.</t>
    </r>
  </si>
  <si>
    <r>
      <t>Verificação, através de mapas e fotos de satélites, de indícios de exercício profissional</t>
    </r>
    <r>
      <rPr>
        <sz val="12"/>
        <rFont val="Calibri"/>
        <family val="2"/>
        <scheme val="minor"/>
      </rPr>
      <t>. (A princípio, realizar uma análise por semana, em cidades do grupo 3, incluindo seus distritos e povoados, integrantes de áreas de especial interesse turístico, cultural e ambiental,  alternando semanalmente entre as regionais, de fotos que deverão ter diferença de até 5 anos entre si)</t>
    </r>
  </si>
  <si>
    <t>10%; 10%; 20%</t>
  </si>
  <si>
    <r>
      <t>Verificação da participação de profissionais habilitados na realização de laudo de estados de conservação;</t>
    </r>
    <r>
      <rPr>
        <sz val="12"/>
        <rFont val="Calibri"/>
        <family val="2"/>
        <scheme val="minor"/>
      </rPr>
      <t xml:space="preserve"> inventários e processos de tombamento, de patrimônios arquitetônicos e urbanísticos, referentes ao ICMS Patrimônio Cultural, através de dados da Biblioteca do Instituto Estadual do Patrimônio Histórico e Artístico (IEPHA): </t>
    </r>
    <r>
      <rPr>
        <b/>
        <sz val="12"/>
        <rFont val="Calibri"/>
        <family val="2"/>
        <scheme val="minor"/>
      </rPr>
      <t>10% das cidades com laudos de estado de conservação; 10% das cidades com inventários e 20% das cidades com tombamentos.</t>
    </r>
  </si>
  <si>
    <r>
      <t>Campanha de Denúncias</t>
    </r>
    <r>
      <rPr>
        <sz val="12"/>
        <rFont val="Calibri"/>
        <family val="2"/>
        <scheme val="minor"/>
      </rPr>
      <t xml:space="preserve"> - (a desenvolver - originada das sugestões por consulta pública)</t>
    </r>
  </si>
  <si>
    <r>
      <t>Produção de material gráfico/textual distribuição virtual ou em palestras, seminários, visitas institucionais e ações de fiscalização externas</t>
    </r>
    <r>
      <rPr>
        <sz val="12"/>
        <rFont val="Calibri"/>
        <family val="2"/>
        <scheme val="minor"/>
      </rPr>
      <t xml:space="preserve"> realizados pela Autarquia, para diferentes públicos (profissionais, estudantes, leigos, órgãos e agentes públicos; comunidades locais e regionais).</t>
    </r>
  </si>
  <si>
    <t>Promover parceria para realização de palestras nos eventos realizados pela organização. Firmar duas parcerias (FENEA-MG Leste e FENEA-MG Centro)</t>
  </si>
  <si>
    <r>
      <rPr>
        <b/>
        <sz val="12"/>
        <rFont val="Calibri"/>
        <family val="2"/>
        <scheme val="minor"/>
      </rPr>
      <t xml:space="preserve">Discussão sobre penas alternativas - </t>
    </r>
    <r>
      <rPr>
        <sz val="12"/>
        <rFont val="Calibri"/>
        <family val="2"/>
        <scheme val="minor"/>
      </rPr>
      <t>(a desenvolver - originada das sugestões por consulta pública)</t>
    </r>
  </si>
  <si>
    <r>
      <rPr>
        <b/>
        <sz val="12"/>
        <rFont val="Calibri"/>
        <family val="2"/>
        <scheme val="minor"/>
      </rPr>
      <t>Discussão sobre RRT</t>
    </r>
    <r>
      <rPr>
        <sz val="12"/>
        <rFont val="Calibri"/>
        <family val="2"/>
        <scheme val="minor"/>
      </rPr>
      <t xml:space="preserve"> - (a desenvolver - originada das sugestões por consulta pública)</t>
    </r>
  </si>
  <si>
    <r>
      <rPr>
        <b/>
        <sz val="12"/>
        <rFont val="Calibri"/>
        <family val="2"/>
        <scheme val="minor"/>
      </rPr>
      <t>Realizar o calendário de 12 (doze) Reuniões Ordinárias (Comissões, Conselho Diretor e Plenária)</t>
    </r>
    <r>
      <rPr>
        <sz val="12"/>
        <rFont val="Calibri"/>
        <family val="2"/>
        <scheme val="minor"/>
      </rPr>
      <t xml:space="preserve"> para o cumprimento de suas competências regimentais e o desenvolvimento de ações previstas no seu Plano de Trabalho e no Plano de Ação do CAU/MG. </t>
    </r>
  </si>
  <si>
    <r>
      <rPr>
        <b/>
        <sz val="12"/>
        <rFont val="Calibri"/>
        <family val="2"/>
        <scheme val="minor"/>
      </rPr>
      <t xml:space="preserve">Custear uma participação dos membros da Comissão em reuniões e eventos de interesse </t>
    </r>
    <r>
      <rPr>
        <sz val="12"/>
        <rFont val="Calibri"/>
        <family val="2"/>
        <scheme val="minor"/>
      </rPr>
      <t>ou previstos pela própria comissão .</t>
    </r>
  </si>
  <si>
    <r>
      <rPr>
        <b/>
        <sz val="12"/>
        <rFont val="Calibri"/>
        <family val="2"/>
        <scheme val="minor"/>
      </rPr>
      <t>Elaborar proposta de um seminário entre a CPFi-CAU/BR e as CPFI-CAU/UFs a fim de otimizar procedimentos e a eficiência das CPFis</t>
    </r>
    <r>
      <rPr>
        <sz val="12"/>
        <rFont val="Calibri"/>
        <family val="2"/>
        <scheme val="minor"/>
      </rPr>
      <t>, promover campanha de maior aproximação junto aos profissionais e empresas para valorização do pagamento das anuidades e dos RRTs, ressaltando a importância do fortalecimento da profissão, da instituição e da CAT para a qualificação profissional</t>
    </r>
  </si>
  <si>
    <r>
      <rPr>
        <b/>
        <sz val="12"/>
        <rFont val="Calibri"/>
        <family val="2"/>
        <scheme val="minor"/>
      </rPr>
      <t>Confeccionar relatório didático/resumido semestral/anual com as informações das receitas e despesas</t>
    </r>
    <r>
      <rPr>
        <sz val="12"/>
        <rFont val="Calibri"/>
        <family val="2"/>
        <scheme val="minor"/>
      </rPr>
      <t>, bem como as despesas agrupadas por ações do CAU/MG</t>
    </r>
  </si>
  <si>
    <r>
      <rPr>
        <b/>
        <sz val="12"/>
        <rFont val="Calibri"/>
        <family val="2"/>
        <scheme val="minor"/>
      </rPr>
      <t xml:space="preserve">Ampliar a relação do CAU/MG com as Prefeituras, estimular a assinatura de convênios com as cidades </t>
    </r>
    <r>
      <rPr>
        <sz val="12"/>
        <rFont val="Calibri"/>
        <family val="2"/>
        <scheme val="minor"/>
      </rPr>
      <t>e realizar campanhas junto as prefeituras, para conscientização sobre a importância da Arquitetura e do Arquiteto e Urbanista. E dessa forma gerar ações mais benéficas para a sociedade e consequentemente maior reconhecimento e valorização ao trabalho dos Arquitetos e Urbanistas.</t>
    </r>
  </si>
  <si>
    <r>
      <rPr>
        <b/>
        <sz val="12"/>
        <rFont val="Calibri"/>
        <family val="2"/>
        <scheme val="minor"/>
      </rPr>
      <t>Realizar pesquisa abrangente com os Arquitetos e Urbanistas do CAU/MG</t>
    </r>
    <r>
      <rPr>
        <sz val="12"/>
        <rFont val="Calibri"/>
        <family val="2"/>
        <scheme val="minor"/>
      </rPr>
      <t xml:space="preserve"> para conhece-los melhor e assim poder traçar um plano de ação mais condizente com a realidade dos profissionais. A pesquisa visa compreender a condição social, a área de atuação, a remuneração e as principais dificuldades encontradas pelos Arquitetos e Urbanistas para o exercício da profissão.</t>
    </r>
  </si>
  <si>
    <t>Análise das Prestações de Contas dos Editais de Patrocínio e Assistência Técnica do CAU/MG.</t>
  </si>
  <si>
    <r>
      <rPr>
        <b/>
        <sz val="12"/>
        <rFont val="Calibri"/>
        <family val="2"/>
        <scheme val="minor"/>
      </rPr>
      <t>Gerar caderno de orientações e normativos internos da CPFi</t>
    </r>
    <r>
      <rPr>
        <sz val="12"/>
        <rFont val="Calibri"/>
        <family val="2"/>
        <scheme val="minor"/>
      </rPr>
      <t xml:space="preserve"> para os Conselheiros e funcionários do CAU/MG</t>
    </r>
  </si>
  <si>
    <r>
      <rPr>
        <b/>
        <sz val="12"/>
        <rFont val="Calibri"/>
        <family val="2"/>
        <scheme val="minor"/>
      </rPr>
      <t xml:space="preserve">Realizar o calendário de 12 (doze) Reuniões Ordinárias (Comissões, Conselho Diretor e Plenária) </t>
    </r>
    <r>
      <rPr>
        <sz val="12"/>
        <rFont val="Calibri"/>
        <family val="2"/>
        <scheme val="minor"/>
      </rPr>
      <t xml:space="preserve">para o cumprimento de suas competências regimentais e o desenvolvimento de ações previstas no seu Plano de Trabalho e no Plano de Ação do CAU/MG. </t>
    </r>
  </si>
  <si>
    <r>
      <rPr>
        <b/>
        <sz val="12"/>
        <rFont val="Calibri"/>
        <family val="2"/>
        <scheme val="minor"/>
      </rPr>
      <t xml:space="preserve">Realizar o calendário de 10 (dez) Reuniões Extraordinárias </t>
    </r>
    <r>
      <rPr>
        <sz val="12"/>
        <rFont val="Calibri"/>
        <family val="2"/>
        <scheme val="minor"/>
      </rPr>
      <t xml:space="preserve">para a apreciação de demandas extraordinárias e planejamento de novas atividades. </t>
    </r>
  </si>
  <si>
    <r>
      <rPr>
        <b/>
        <sz val="12"/>
        <rFont val="Calibri"/>
        <family val="2"/>
        <scheme val="minor"/>
      </rPr>
      <t>Elaborar, revisar e aprimorar editais</t>
    </r>
    <r>
      <rPr>
        <sz val="12"/>
        <rFont val="Calibri"/>
        <family val="2"/>
        <scheme val="minor"/>
      </rPr>
      <t xml:space="preserve"> </t>
    </r>
    <r>
      <rPr>
        <sz val="12"/>
        <rFont val="Calibri"/>
        <family val="2"/>
        <scheme val="minor"/>
      </rPr>
      <t xml:space="preserve">, após ouvir </t>
    </r>
    <r>
      <rPr>
        <sz val="12"/>
        <rFont val="Calibri"/>
        <family val="2"/>
        <scheme val="minor"/>
      </rPr>
      <t>órgãos colegiados e unidades operacionais proponentes.</t>
    </r>
  </si>
  <si>
    <r>
      <t xml:space="preserve">Acompanhar e promover junto à Geplan </t>
    </r>
    <r>
      <rPr>
        <b/>
        <sz val="12"/>
        <rFont val="Calibri"/>
        <family val="2"/>
        <scheme val="minor"/>
      </rPr>
      <t>ações que permitam a aproximação institucional necessária para criação de uma Frente Parlamentar Estadual</t>
    </r>
    <r>
      <rPr>
        <sz val="12"/>
        <rFont val="Calibri"/>
        <family val="2"/>
        <scheme val="minor"/>
      </rPr>
      <t xml:space="preserve"> pela Valorização da Arquitetura e Urbanismo em Minas Gerais.</t>
    </r>
  </si>
  <si>
    <r>
      <rPr>
        <b/>
        <sz val="12"/>
        <rFont val="Calibri"/>
        <family val="2"/>
        <scheme val="minor"/>
      </rPr>
      <t>Formatar Edital de Patrocínio na modalidade Assistência Técnica para Habitação de Interesse Social (Athis),</t>
    </r>
    <r>
      <rPr>
        <sz val="12"/>
        <rFont val="Calibri"/>
        <family val="2"/>
        <scheme val="minor"/>
      </rPr>
      <t xml:space="preserve"> a partir de diretrizes a definir pela Cathis</t>
    </r>
  </si>
  <si>
    <t>Editais de Patrocínio</t>
  </si>
  <si>
    <r>
      <rPr>
        <b/>
        <sz val="12"/>
        <rFont val="Calibri"/>
        <family val="2"/>
        <scheme val="minor"/>
      </rPr>
      <t>Formatar Edital de Patrocínio na modalidade Patrimônio Cultural,</t>
    </r>
    <r>
      <rPr>
        <sz val="12"/>
        <rFont val="Calibri"/>
        <family val="2"/>
        <scheme val="minor"/>
      </rPr>
      <t xml:space="preserve"> a partir de diretrizes a definir pela CPC</t>
    </r>
  </si>
  <si>
    <r>
      <rPr>
        <b/>
        <sz val="12"/>
        <rFont val="Calibri"/>
        <family val="2"/>
        <scheme val="minor"/>
      </rPr>
      <t xml:space="preserve">Verificar regularidade regimental das entidades que compõem o Ceau-CAU/MG </t>
    </r>
    <r>
      <rPr>
        <sz val="12"/>
        <rFont val="Calibri"/>
        <family val="2"/>
        <scheme val="minor"/>
      </rPr>
      <t>(ref. Protocolo Siccau n. 1033711/2020)</t>
    </r>
  </si>
  <si>
    <r>
      <rPr>
        <b/>
        <sz val="12"/>
        <rFont val="Calibri"/>
        <family val="2"/>
        <scheme val="minor"/>
      </rPr>
      <t>Responder pedidos de esclarecimento sobre editais de patrocínio</t>
    </r>
    <r>
      <rPr>
        <sz val="12"/>
        <rFont val="Calibri"/>
        <family val="2"/>
        <scheme val="minor"/>
      </rPr>
      <t xml:space="preserve"> ou tomar outras providências cabíveis</t>
    </r>
  </si>
  <si>
    <r>
      <rPr>
        <b/>
        <sz val="12"/>
        <rFont val="Calibri"/>
        <family val="2"/>
        <scheme val="minor"/>
      </rPr>
      <t>Elaborar um programa de integridade e transparência, e monitorar o cumprimento da LAI</t>
    </r>
    <r>
      <rPr>
        <sz val="12"/>
        <rFont val="Calibri"/>
        <family val="2"/>
        <scheme val="minor"/>
      </rPr>
      <t>, considerando os princípios relacionados às temáticas de equidade e representaividade</t>
    </r>
  </si>
  <si>
    <t>Atualização do Portal da Transparência</t>
  </si>
  <si>
    <r>
      <rPr>
        <b/>
        <sz val="12"/>
        <rFont val="Calibri"/>
        <family val="2"/>
        <scheme val="minor"/>
      </rPr>
      <t>Propor conteúdo relativo aos resultados que as competências regimentais podem gerar para a sociedade</t>
    </r>
    <r>
      <rPr>
        <sz val="12"/>
        <rFont val="Calibri"/>
        <family val="2"/>
        <scheme val="minor"/>
      </rPr>
      <t xml:space="preserve">, para uma campanha em formato de diálogo – podcast </t>
    </r>
  </si>
  <si>
    <t>Ações Locais em Mídia</t>
  </si>
  <si>
    <r>
      <rPr>
        <b/>
        <sz val="12"/>
        <rFont val="Calibri"/>
        <family val="2"/>
        <scheme val="minor"/>
      </rPr>
      <t>Construir um sistema de gestão da qualidade</t>
    </r>
    <r>
      <rPr>
        <sz val="12"/>
        <rFont val="Calibri"/>
        <family val="2"/>
        <scheme val="minor"/>
      </rPr>
      <t>, através de consultorias especializadas</t>
    </r>
  </si>
  <si>
    <r>
      <rPr>
        <b/>
        <sz val="12"/>
        <rFont val="Calibri"/>
        <family val="2"/>
        <scheme val="minor"/>
      </rPr>
      <t>Criar Fóruns Regionais nas 10 (dez) regiões de planejamento</t>
    </r>
    <r>
      <rPr>
        <sz val="12"/>
        <rFont val="Calibri"/>
        <family val="2"/>
        <scheme val="minor"/>
      </rPr>
      <t xml:space="preserve"> (conforme adotado oficialmente pelo Governo de Minas), a fim de reunir projetos de lei, entidades associativas da sociedade civil, do poder público municipal,  com temas relacionados à Arquitetura e Urbanismo, e consequentemente conduzir propostas a um Seminário Legislativo a ser realizado em BH para construção da Frente Parlamentar junto à ALMG </t>
    </r>
  </si>
  <si>
    <r>
      <t xml:space="preserve">Propor uma revisão do Regimento Interno no que tange aos </t>
    </r>
    <r>
      <rPr>
        <b/>
        <sz val="12"/>
        <rFont val="Calibri"/>
        <family val="2"/>
        <scheme val="minor"/>
      </rPr>
      <t>critérios para inclusão de entidades no CEAU</t>
    </r>
  </si>
  <si>
    <r>
      <rPr>
        <b/>
        <sz val="12"/>
        <rFont val="Calibri"/>
        <family val="2"/>
        <scheme val="minor"/>
      </rPr>
      <t>Incentivar e acompanhar as representações institucionais</t>
    </r>
    <r>
      <rPr>
        <sz val="12"/>
        <rFont val="Calibri"/>
        <family val="2"/>
        <scheme val="minor"/>
      </rPr>
      <t xml:space="preserve"> realizadas pelos conselheiros e/ou outros representantes nomeados pela Presidência do CAU/MG </t>
    </r>
  </si>
  <si>
    <t>Representação em Instâncias Públicas</t>
  </si>
  <si>
    <r>
      <rPr>
        <b/>
        <sz val="12"/>
        <rFont val="Calibri"/>
        <family val="2"/>
        <scheme val="minor"/>
      </rPr>
      <t>Formatar Edital de Patrocínio na modalidade Politica Urbana</t>
    </r>
    <r>
      <rPr>
        <sz val="12"/>
        <rFont val="Calibri"/>
        <family val="2"/>
        <scheme val="minor"/>
      </rPr>
      <t>, a partir de diretrizes a definir pela CPUA</t>
    </r>
  </si>
  <si>
    <r>
      <t xml:space="preserve">Propor </t>
    </r>
    <r>
      <rPr>
        <b/>
        <sz val="12"/>
        <rFont val="Calibri"/>
        <family val="2"/>
        <scheme val="minor"/>
      </rPr>
      <t>critérios para o preenchimento de cargos comissionados e funções gratificadas</t>
    </r>
  </si>
  <si>
    <r>
      <rPr>
        <b/>
        <sz val="12"/>
        <rFont val="Calibri"/>
        <family val="2"/>
        <scheme val="minor"/>
      </rPr>
      <t>Realizar o calendário de nove Reuniões Ordinárias (Comissões e Plenária)</t>
    </r>
    <r>
      <rPr>
        <sz val="12"/>
        <rFont val="Calibri"/>
        <family val="2"/>
        <scheme val="minor"/>
      </rPr>
      <t xml:space="preserve"> para o cumprimento de suas competências regimentais e o desenvolvimento de ações previstas no seu Plano de Trabalho e no Plano de Ação do CAU/MG, prevendo datas para tratativas conjuntas com as demais Comissões Especiais. </t>
    </r>
  </si>
  <si>
    <r>
      <rPr>
        <b/>
        <sz val="12"/>
        <rFont val="Calibri"/>
        <family val="2"/>
        <scheme val="minor"/>
      </rPr>
      <t>Realizar o calendário de quatro Reuniões Extraordinárias</t>
    </r>
    <r>
      <rPr>
        <sz val="12"/>
        <rFont val="Calibri"/>
        <family val="2"/>
        <scheme val="minor"/>
      </rPr>
      <t xml:space="preserve"> para a apreciação de demandas extraordinárias e planejamento de novas atividades. </t>
    </r>
  </si>
  <si>
    <r>
      <t xml:space="preserve">Custear uma participação dos membros da Comissão em reuniões e eventos de interesse </t>
    </r>
    <r>
      <rPr>
        <sz val="12"/>
        <rFont val="Calibri"/>
        <family val="2"/>
        <scheme val="minor"/>
      </rPr>
      <t>ou previstos pela própria comissão .</t>
    </r>
  </si>
  <si>
    <r>
      <t xml:space="preserve">Elaborar Edital para promover </t>
    </r>
    <r>
      <rPr>
        <b/>
        <sz val="12"/>
        <rFont val="Calibri"/>
        <family val="2"/>
        <scheme val="minor"/>
      </rPr>
      <t xml:space="preserve">premiação através de um edital de boas práticas na Arquitetura e Urbanismo no campo da política urbana e ambiental </t>
    </r>
    <r>
      <rPr>
        <sz val="12"/>
        <rFont val="Calibri"/>
        <family val="2"/>
        <scheme val="minor"/>
      </rPr>
      <t>e enviar para a aprovação do Conselho Diretor do CAU/MG.</t>
    </r>
  </si>
  <si>
    <r>
      <t xml:space="preserve">Elaborar edital, </t>
    </r>
    <r>
      <rPr>
        <b/>
        <sz val="12"/>
        <rFont val="Calibri"/>
        <family val="2"/>
        <scheme val="minor"/>
      </rPr>
      <t>convênios com instituições para qualificar e capacitar os profissionais Arquitetos e Urbanistas para trabalhar com regularização fundiária</t>
    </r>
    <r>
      <rPr>
        <sz val="12"/>
        <rFont val="Calibri"/>
        <family val="2"/>
        <scheme val="minor"/>
      </rPr>
      <t>.</t>
    </r>
  </si>
  <si>
    <t>Cooperação Técnica para ATHIS</t>
  </si>
  <si>
    <r>
      <t xml:space="preserve">Elaborar </t>
    </r>
    <r>
      <rPr>
        <b/>
        <sz val="12"/>
        <rFont val="Calibri"/>
        <family val="2"/>
        <scheme val="minor"/>
      </rPr>
      <t>edital para desenvolvimento de conteúdo pedagógico para ensino fundamental e médio sobre política urbana e ambienta</t>
    </r>
    <r>
      <rPr>
        <sz val="12"/>
        <rFont val="Calibri"/>
        <family val="2"/>
        <scheme val="minor"/>
      </rPr>
      <t>l que seja de uso livre e enviar para a aprovação do Conselho Diretor do CAU/MG.</t>
    </r>
  </si>
  <si>
    <r>
      <t xml:space="preserve">Promover seleção por meio de </t>
    </r>
    <r>
      <rPr>
        <b/>
        <sz val="12"/>
        <rFont val="Calibri"/>
        <family val="2"/>
        <scheme val="minor"/>
      </rPr>
      <t>edital ou através de empresa contratada para elaboração de cartilhas com temáticas</t>
    </r>
    <r>
      <rPr>
        <sz val="12"/>
        <rFont val="Calibri"/>
        <family val="2"/>
        <scheme val="minor"/>
      </rPr>
      <t xml:space="preserve"> diversas dentro do plano de trabalho da CPUA.</t>
    </r>
  </si>
  <si>
    <r>
      <rPr>
        <b/>
        <sz val="12"/>
        <rFont val="Calibri"/>
        <family val="2"/>
        <scheme val="minor"/>
      </rPr>
      <t xml:space="preserve">Promover parcerias com instituições públicas e privadas </t>
    </r>
    <r>
      <rPr>
        <sz val="12"/>
        <rFont val="Calibri"/>
        <family val="2"/>
        <scheme val="minor"/>
      </rPr>
      <t>como Governo de Minas, MPMG, AMM, OAB, SEBRAE, FAPEMIG, dentre outras.</t>
    </r>
  </si>
  <si>
    <r>
      <rPr>
        <b/>
        <sz val="12"/>
        <rFont val="Calibri"/>
        <family val="2"/>
        <scheme val="minor"/>
      </rPr>
      <t>Proposição de frente parlamentar na ALMG</t>
    </r>
    <r>
      <rPr>
        <sz val="12"/>
        <rFont val="Calibri"/>
        <family val="2"/>
        <scheme val="minor"/>
      </rPr>
      <t xml:space="preserve"> em conjunto com outras comissões do CAU/MG.</t>
    </r>
  </si>
  <si>
    <r>
      <t xml:space="preserve">Manter frente parlamentar na ALMG </t>
    </r>
    <r>
      <rPr>
        <sz val="12"/>
        <rFont val="Calibri"/>
        <family val="2"/>
        <scheme val="minor"/>
      </rPr>
      <t>em conjunto com outras comissões do CAU/MG.</t>
    </r>
  </si>
  <si>
    <r>
      <rPr>
        <b/>
        <sz val="12"/>
        <rFont val="Calibri"/>
        <family val="2"/>
        <scheme val="minor"/>
      </rPr>
      <t>Elencar projetos de lei estaduais</t>
    </r>
    <r>
      <rPr>
        <sz val="12"/>
        <rFont val="Calibri"/>
        <family val="2"/>
        <scheme val="minor"/>
      </rPr>
      <t xml:space="preserve"> para a atuação do CAU/MG.</t>
    </r>
  </si>
  <si>
    <r>
      <t xml:space="preserve">Articular o </t>
    </r>
    <r>
      <rPr>
        <b/>
        <sz val="12"/>
        <rFont val="Calibri"/>
        <family val="2"/>
        <scheme val="minor"/>
      </rPr>
      <t>II Seminário Legislativo ALMG e CAU/MG (2022)</t>
    </r>
  </si>
  <si>
    <r>
      <t>Evento: II Seminário Legislativo ALMG e CAU/MG</t>
    </r>
    <r>
      <rPr>
        <sz val="12"/>
        <rFont val="Calibri"/>
        <family val="2"/>
        <scheme val="minor"/>
      </rPr>
      <t>. Elaborar um evento  para debater Projetos de Lei Estaduais e Normas que tratam do tema Arquitetura e Urbanismo em suas diversas dimensões: mercado de trabalho, construção civil, política urbana, habitação de interesse social, dentre outras.</t>
    </r>
  </si>
  <si>
    <t>Indicação de profissionais arquitetos e urbanistas para compor conselhos municipais</t>
  </si>
  <si>
    <r>
      <rPr>
        <b/>
        <sz val="12"/>
        <rFont val="Calibri"/>
        <family val="2"/>
        <scheme val="minor"/>
      </rPr>
      <t>Produzir conteúdo relativo a suas competências regimentais para campanha em formato de diálogo</t>
    </r>
    <r>
      <rPr>
        <sz val="12"/>
        <rFont val="Calibri"/>
        <family val="2"/>
        <scheme val="minor"/>
      </rPr>
      <t xml:space="preserve"> – podcast (ref. Protocolo Siccau n. 1145686/2020)</t>
    </r>
  </si>
  <si>
    <r>
      <t xml:space="preserve">Criar um fórum de discussão na página de planejamento urbano e ambiental no site do CAU/MG </t>
    </r>
    <r>
      <rPr>
        <sz val="12"/>
        <rFont val="Calibri"/>
        <family val="2"/>
        <scheme val="minor"/>
      </rPr>
      <t>com o objetivo de: promover a integração de conselhos participativos, engajar profissionais arquitetos e urbanistas, criar uma agenda de todos os conselhos participativos, recebendo comunicados, atas, deliberações</t>
    </r>
    <r>
      <rPr>
        <b/>
        <sz val="12"/>
        <rFont val="Calibri"/>
        <family val="2"/>
        <scheme val="minor"/>
      </rPr>
      <t>. Alimentar o fórum com pelo menos 1 conteúdo por mês.</t>
    </r>
  </si>
  <si>
    <r>
      <t xml:space="preserve">Inscrever e realizar um evento no </t>
    </r>
    <r>
      <rPr>
        <b/>
        <sz val="12"/>
        <rFont val="Calibri"/>
        <family val="2"/>
        <scheme val="minor"/>
      </rPr>
      <t>5° Circuito Urbano do Programa das Nações Unidas para os Assentamentos Humanos (ONU-HABITAT).</t>
    </r>
  </si>
  <si>
    <t>Participar do congresso da AMM</t>
  </si>
  <si>
    <r>
      <t xml:space="preserve">Propor ações conjuntas com as demais Comissões Especiais, tais como, o </t>
    </r>
    <r>
      <rPr>
        <b/>
        <sz val="12"/>
        <rFont val="Calibri"/>
        <family val="2"/>
        <scheme val="minor"/>
      </rPr>
      <t>2° Seminário Conjunto das Comissões Especiais.</t>
    </r>
  </si>
  <si>
    <t>Criação de grupo de trabalho sobre mobilidade urbana</t>
  </si>
  <si>
    <t>Câmaras Temáticas</t>
  </si>
  <si>
    <r>
      <rPr>
        <b/>
        <sz val="12"/>
        <rFont val="Calibri"/>
        <family val="2"/>
        <scheme val="minor"/>
      </rPr>
      <t xml:space="preserve">Realizar o calendário de nove Reuniões Ordinárias (Comissões, Conselho Diretor, CEAU e Plenária) </t>
    </r>
    <r>
      <rPr>
        <sz val="12"/>
        <rFont val="Calibri"/>
        <family val="2"/>
        <scheme val="minor"/>
      </rPr>
      <t xml:space="preserve">para o cumprimento de suas competências regimentais e o desenvolvimento de ações previstas no seu Plano de Trabalho e no Plano de Ação do CAU/MG, prevendo datas para tratativas conjuntas com as demais Comissões Especiais. </t>
    </r>
  </si>
  <si>
    <r>
      <t xml:space="preserve">Organizar articulação interinstitucional com a finalidade de implementação da Athis como política pública local, preferencialmente, parte de PLH – </t>
    </r>
    <r>
      <rPr>
        <b/>
        <sz val="12"/>
        <rFont val="Calibri"/>
        <family val="2"/>
        <scheme val="minor"/>
      </rPr>
      <t>ação piloto nos 20 municípios da Zona da Mata Norte</t>
    </r>
    <r>
      <rPr>
        <sz val="12"/>
        <rFont val="Calibri"/>
        <family val="2"/>
        <scheme val="minor"/>
      </rPr>
      <t>, observando possibilidades abertas com o TCT entre CAU/MG e Sedese/MG</t>
    </r>
  </si>
  <si>
    <r>
      <rPr>
        <b/>
        <sz val="12"/>
        <rFont val="Calibri"/>
        <family val="2"/>
        <scheme val="minor"/>
      </rPr>
      <t>Ação de aproximação junto às instâncias governamentais financiadoras e gestoras de recursos públicos destinados à HIS</t>
    </r>
    <r>
      <rPr>
        <sz val="12"/>
        <rFont val="Calibri"/>
        <family val="2"/>
        <scheme val="minor"/>
      </rPr>
      <t>, a fim de melhor orientar os gestores públicos municipais.</t>
    </r>
  </si>
  <si>
    <t>Capacitação em ATHIS</t>
  </si>
  <si>
    <r>
      <rPr>
        <b/>
        <sz val="12"/>
        <rFont val="Calibri"/>
        <family val="2"/>
        <scheme val="minor"/>
      </rPr>
      <t xml:space="preserve">Avaliar e revisar a meta e critérios de medição do indicador de desempenho </t>
    </r>
    <r>
      <rPr>
        <sz val="12"/>
        <rFont val="Calibri"/>
        <family val="2"/>
        <scheme val="minor"/>
      </rPr>
      <t>“Participação do CAU na elaboração ou regulamentação da Lei da Assistência Técnica Gratuita (Lei nº 11.888/08) (%)”.</t>
    </r>
  </si>
  <si>
    <r>
      <rPr>
        <b/>
        <sz val="12"/>
        <rFont val="Calibri"/>
        <family val="2"/>
        <scheme val="minor"/>
      </rPr>
      <t xml:space="preserve">Avaliar e revisar a meta e critérios de medição do indicador de desempenho </t>
    </r>
    <r>
      <rPr>
        <sz val="12"/>
        <rFont val="Calibri"/>
        <family val="2"/>
        <scheme val="minor"/>
      </rPr>
      <t>“"Índice de ações realizadas destinadas à Assistência Técnica (%)”.</t>
    </r>
  </si>
  <si>
    <r>
      <rPr>
        <b/>
        <sz val="12"/>
        <rFont val="Calibri"/>
        <family val="2"/>
        <scheme val="minor"/>
      </rPr>
      <t>Elencar e analisar projetos de lei federais, estaduais e municipais</t>
    </r>
    <r>
      <rPr>
        <sz val="12"/>
        <rFont val="Calibri"/>
        <family val="2"/>
        <scheme val="minor"/>
      </rPr>
      <t xml:space="preserve"> para a atuação do CAU/MG.</t>
    </r>
  </si>
  <si>
    <t>Proposta de Frente Parlamentar na ALMG.</t>
  </si>
  <si>
    <r>
      <rPr>
        <b/>
        <sz val="12"/>
        <rFont val="Calibri"/>
        <family val="2"/>
        <scheme val="minor"/>
      </rPr>
      <t>Promover a articulação de ações em rede com a CPP-CAU/BR</t>
    </r>
    <r>
      <rPr>
        <sz val="12"/>
        <rFont val="Calibri"/>
        <family val="2"/>
        <scheme val="minor"/>
      </rPr>
      <t xml:space="preserve"> e Cathis dos outros CAU/UF relacionadas a política de Athis</t>
    </r>
  </si>
  <si>
    <r>
      <rPr>
        <b/>
        <sz val="12"/>
        <rFont val="Calibri"/>
        <family val="2"/>
        <scheme val="minor"/>
      </rPr>
      <t>Criação de Núcleo de práticas arquitetônicas</t>
    </r>
    <r>
      <rPr>
        <sz val="12"/>
        <rFont val="Calibri"/>
        <family val="2"/>
        <scheme val="minor"/>
      </rPr>
      <t xml:space="preserve"> em parceria com a SEDESE, IAB e IAB/MG</t>
    </r>
  </si>
  <si>
    <r>
      <rPr>
        <b/>
        <sz val="12"/>
        <rFont val="Calibri"/>
        <family val="2"/>
        <scheme val="minor"/>
      </rPr>
      <t>Propor diretrizes para um Edital de Patrocínio</t>
    </r>
    <r>
      <rPr>
        <sz val="12"/>
        <rFont val="Calibri"/>
        <family val="2"/>
        <scheme val="minor"/>
      </rPr>
      <t xml:space="preserve"> na modalidade Assistência Técnica para Habitação de Interesse Social (Athis), e enviar para a aprovação do Conselho Diretor do CAU/MG.</t>
    </r>
  </si>
  <si>
    <r>
      <rPr>
        <b/>
        <sz val="12"/>
        <rFont val="Calibri"/>
        <family val="2"/>
        <scheme val="minor"/>
      </rPr>
      <t>Propor outras finalidades, além dos Editais,</t>
    </r>
    <r>
      <rPr>
        <sz val="12"/>
        <rFont val="Calibri"/>
        <family val="2"/>
        <scheme val="minor"/>
      </rPr>
      <t xml:space="preserve"> para a alocação estratégica de recursos destinada à Athis.</t>
    </r>
  </si>
  <si>
    <r>
      <rPr>
        <b/>
        <sz val="12"/>
        <rFont val="Calibri"/>
        <family val="2"/>
        <scheme val="minor"/>
      </rPr>
      <t>Propor convênios que busquem a elaboração de estudos municipais/regionais abrangendo todo o Estado de Minas Gerais</t>
    </r>
    <r>
      <rPr>
        <sz val="12"/>
        <rFont val="Calibri"/>
        <family val="2"/>
        <scheme val="minor"/>
      </rPr>
      <t>, a fim de gerar e disponibilizar dados e informações atualizadas e qualificadas que orientem a boa e adequada tomada de decisão e ações estratégicas do CAU/MG em Athis</t>
    </r>
  </si>
  <si>
    <r>
      <rPr>
        <b/>
        <sz val="12"/>
        <rFont val="Calibri"/>
        <family val="2"/>
        <scheme val="minor"/>
      </rPr>
      <t>Desenvolver novas ações:</t>
    </r>
    <r>
      <rPr>
        <sz val="12"/>
        <rFont val="Calibri"/>
        <family val="2"/>
        <scheme val="minor"/>
      </rPr>
      <t xml:space="preserve"> relacionar ATHIS com o novo marco regulatório do saneamento.</t>
    </r>
  </si>
  <si>
    <r>
      <t>Organizar o “</t>
    </r>
    <r>
      <rPr>
        <b/>
        <sz val="12"/>
        <rFont val="Calibri"/>
        <family val="2"/>
        <scheme val="minor"/>
      </rPr>
      <t>III Seminário Athis: experiência dos Editais do CAU/MG</t>
    </r>
    <r>
      <rPr>
        <sz val="12"/>
        <rFont val="Calibri"/>
        <family val="2"/>
        <scheme val="minor"/>
      </rPr>
      <t>”</t>
    </r>
  </si>
  <si>
    <r>
      <rPr>
        <b/>
        <sz val="12"/>
        <rFont val="Calibri"/>
        <family val="2"/>
        <scheme val="minor"/>
      </rPr>
      <t>Propor e realizar campanha, em rádio e televisão</t>
    </r>
    <r>
      <rPr>
        <sz val="12"/>
        <rFont val="Calibri"/>
        <family val="2"/>
        <scheme val="minor"/>
      </rPr>
      <t>, de conteúdo relativo a suas competências regimentais.</t>
    </r>
  </si>
  <si>
    <r>
      <t xml:space="preserve">Propor ação de </t>
    </r>
    <r>
      <rPr>
        <b/>
        <sz val="12"/>
        <rFont val="Calibri"/>
        <family val="2"/>
        <scheme val="minor"/>
      </rPr>
      <t>campanha de divulgação da Athis no Congresso da AMM 2022</t>
    </r>
  </si>
  <si>
    <r>
      <rPr>
        <b/>
        <sz val="12"/>
        <rFont val="Calibri"/>
        <family val="2"/>
        <scheme val="minor"/>
      </rPr>
      <t xml:space="preserve">Organizar articulação interinstitucional com o MPMG </t>
    </r>
    <r>
      <rPr>
        <sz val="12"/>
        <rFont val="Calibri"/>
        <family val="2"/>
        <scheme val="minor"/>
      </rPr>
      <t xml:space="preserve">para obtenção de fundos com a finalidade de implementação da Athis </t>
    </r>
  </si>
  <si>
    <t>Mapeamento com ações de ATHIS inclusive os movimentos sociais em MG, com exceção de BH.</t>
  </si>
  <si>
    <r>
      <rPr>
        <b/>
        <sz val="12"/>
        <rFont val="Calibri"/>
        <family val="2"/>
        <scheme val="minor"/>
      </rPr>
      <t>Mapeamento com ações de ATHIS inclusive os movimentos sociais em BH</t>
    </r>
    <r>
      <rPr>
        <sz val="12"/>
        <rFont val="Calibri"/>
        <family val="2"/>
        <scheme val="minor"/>
      </rPr>
      <t xml:space="preserve"> (Parceria com PBH e Urbel)</t>
    </r>
  </si>
  <si>
    <t>Buscar novas fontes de fomento e parcerias para os editais de ATHIS</t>
  </si>
  <si>
    <r>
      <rPr>
        <b/>
        <sz val="12"/>
        <rFont val="Calibri"/>
        <family val="2"/>
        <scheme val="minor"/>
      </rPr>
      <t>Ampliar participação no Núcleo de práticas arquitetônicas: CEAU, Universidades, AMM</t>
    </r>
    <r>
      <rPr>
        <sz val="12"/>
        <rFont val="Calibri"/>
        <family val="2"/>
        <scheme val="minor"/>
      </rPr>
      <t>, dentre outros.</t>
    </r>
  </si>
  <si>
    <r>
      <rPr>
        <b/>
        <sz val="12"/>
        <rFont val="Calibri"/>
        <family val="2"/>
        <scheme val="minor"/>
      </rPr>
      <t>Ampliar convênios com Prefeituras de Minas Gerais</t>
    </r>
    <r>
      <rPr>
        <sz val="12"/>
        <rFont val="Calibri"/>
        <family val="2"/>
        <scheme val="minor"/>
      </rPr>
      <t xml:space="preserve"> com a finalidade de implementação da Athis </t>
    </r>
  </si>
  <si>
    <r>
      <rPr>
        <b/>
        <sz val="12"/>
        <rFont val="Calibri"/>
        <family val="2"/>
        <scheme val="minor"/>
      </rPr>
      <t>Organizar articulação interinstitucional com a AMM</t>
    </r>
    <r>
      <rPr>
        <sz val="12"/>
        <rFont val="Calibri"/>
        <family val="2"/>
        <scheme val="minor"/>
      </rPr>
      <t xml:space="preserve"> e de outras associações intermunicipais com a finalidade de implementação da Athis</t>
    </r>
  </si>
  <si>
    <r>
      <rPr>
        <b/>
        <sz val="12"/>
        <rFont val="Calibri"/>
        <family val="2"/>
        <scheme val="minor"/>
      </rPr>
      <t>Organizar articulação interinstitucional com com o Conselho Regional de Serviço Social - CRESS</t>
    </r>
    <r>
      <rPr>
        <sz val="12"/>
        <rFont val="Calibri"/>
        <family val="2"/>
        <scheme val="minor"/>
      </rPr>
      <t xml:space="preserve"> com a finalidade de implementação da Athis</t>
    </r>
  </si>
  <si>
    <r>
      <rPr>
        <b/>
        <sz val="12"/>
        <rFont val="Calibri"/>
        <family val="2"/>
        <scheme val="minor"/>
      </rPr>
      <t>Organizar articulação interinstitucional com com o CREA/MG</t>
    </r>
    <r>
      <rPr>
        <sz val="12"/>
        <rFont val="Calibri"/>
        <family val="2"/>
        <scheme val="minor"/>
      </rPr>
      <t xml:space="preserve"> com a finalidade de implementação da Athis</t>
    </r>
  </si>
  <si>
    <r>
      <rPr>
        <b/>
        <sz val="12"/>
        <rFont val="Calibri"/>
        <family val="2"/>
        <scheme val="minor"/>
      </rPr>
      <t>Criar plataforma de compartilhamento de informações sobre ATHIS (hotsite)</t>
    </r>
    <r>
      <rPr>
        <sz val="12"/>
        <rFont val="Calibri"/>
        <family val="2"/>
        <scheme val="minor"/>
      </rPr>
      <t xml:space="preserve">: legislação de ATHIS, editais do CAU/MG, ações da CATHIS, banco de dados com arquitetos que trabalham com ATHIS. </t>
    </r>
  </si>
  <si>
    <r>
      <t xml:space="preserve">Propor ações conjuntas com as demais Comissões Especiais, tais como, o </t>
    </r>
    <r>
      <rPr>
        <b/>
        <sz val="12"/>
        <rFont val="Calibri"/>
        <family val="2"/>
        <scheme val="minor"/>
      </rPr>
      <t>3° Seminário Conjunto das Comissões Especiais</t>
    </r>
  </si>
  <si>
    <r>
      <t>Organizar o “</t>
    </r>
    <r>
      <rPr>
        <b/>
        <sz val="12"/>
        <rFont val="Calibri"/>
        <family val="2"/>
        <scheme val="minor"/>
      </rPr>
      <t>IV Seminário Athis: experiência dos Editais do CAU/MG</t>
    </r>
    <r>
      <rPr>
        <sz val="12"/>
        <rFont val="Calibri"/>
        <family val="2"/>
        <scheme val="minor"/>
      </rPr>
      <t>”</t>
    </r>
  </si>
  <si>
    <r>
      <rPr>
        <b/>
        <sz val="12"/>
        <rFont val="Calibri"/>
        <family val="2"/>
        <scheme val="minor"/>
      </rPr>
      <t>Realizar o calendário de nove Reuniões Ordinárias (Comissões, Conselho Diretor, CEAU e Plenária)</t>
    </r>
    <r>
      <rPr>
        <sz val="12"/>
        <rFont val="Calibri"/>
        <family val="2"/>
        <scheme val="minor"/>
      </rPr>
      <t xml:space="preserve"> para o cumprimento de suas competências regimentais e o desenvolvimento de ações previstas no seu Plano de Trabalho e no Plano de Ação do CAU/MG, prevendo datas para tratativas conjuntas com as demais Comissões Especiais. </t>
    </r>
  </si>
  <si>
    <r>
      <rPr>
        <b/>
        <sz val="12"/>
        <rFont val="Calibri"/>
        <family val="2"/>
        <scheme val="minor"/>
      </rPr>
      <t xml:space="preserve">Participação de Membros da Comissão em reuniões e/ou eventos </t>
    </r>
    <r>
      <rPr>
        <sz val="12"/>
        <rFont val="Calibri"/>
        <family val="2"/>
        <scheme val="minor"/>
      </rPr>
      <t>relacionados as atribuições da Comissão</t>
    </r>
  </si>
  <si>
    <r>
      <rPr>
        <b/>
        <sz val="12"/>
        <rFont val="Calibri"/>
        <family val="2"/>
        <scheme val="minor"/>
      </rPr>
      <t>Oficinas de capacitação em patrimônio cultural para órgãos de administração municipal e Conselheiros Municipais de Patrimônio Cultural</t>
    </r>
    <r>
      <rPr>
        <sz val="12"/>
        <rFont val="Calibri"/>
        <family val="2"/>
        <scheme val="minor"/>
      </rPr>
      <t>.</t>
    </r>
  </si>
  <si>
    <r>
      <t xml:space="preserve">Elaboração de </t>
    </r>
    <r>
      <rPr>
        <b/>
        <sz val="12"/>
        <rFont val="Calibri"/>
        <family val="2"/>
        <scheme val="minor"/>
      </rPr>
      <t xml:space="preserve">Cartilha de experimento para os Conselhos do Patrimônio Cultural </t>
    </r>
    <r>
      <rPr>
        <sz val="12"/>
        <rFont val="Calibri"/>
        <family val="2"/>
        <scheme val="minor"/>
      </rPr>
      <t>da importância de profissionais qualificados nas atividades de proteção ao patrimônio cultural</t>
    </r>
  </si>
  <si>
    <r>
      <t xml:space="preserve">Criação de diretrizes para </t>
    </r>
    <r>
      <rPr>
        <b/>
        <sz val="12"/>
        <rFont val="Calibri"/>
        <family val="2"/>
        <scheme val="minor"/>
      </rPr>
      <t>Edital de Apoio Institucional - Patrimônio Cultural</t>
    </r>
  </si>
  <si>
    <r>
      <t xml:space="preserve">Elaboração de </t>
    </r>
    <r>
      <rPr>
        <b/>
        <sz val="12"/>
        <rFont val="Calibri"/>
        <family val="2"/>
        <scheme val="minor"/>
      </rPr>
      <t>Manual de orientação aos municípios para contratação de Consultorias do ICMS Patrimônio Cultural</t>
    </r>
    <r>
      <rPr>
        <sz val="12"/>
        <rFont val="Calibri"/>
        <family val="2"/>
        <scheme val="minor"/>
      </rPr>
      <t>;</t>
    </r>
  </si>
  <si>
    <r>
      <t>Realizar</t>
    </r>
    <r>
      <rPr>
        <b/>
        <sz val="12"/>
        <rFont val="Calibri"/>
        <family val="2"/>
        <scheme val="minor"/>
      </rPr>
      <t xml:space="preserve"> 30 participações do Presidente, Vice- Presidente e Conselheiro Federal em reuniões dos órgãos colegiados do CAU/MG e fórun</t>
    </r>
    <r>
      <rPr>
        <sz val="12"/>
        <rFont val="Calibri"/>
        <family val="2"/>
        <scheme val="minor"/>
      </rPr>
      <t>s, mensalmente ou quinzenalmente, a depender da demanda e justificabilidade.</t>
    </r>
  </si>
  <si>
    <r>
      <t xml:space="preserve">Instituir e realizar o calendário de </t>
    </r>
    <r>
      <rPr>
        <b/>
        <sz val="12"/>
        <rFont val="Calibri"/>
        <family val="2"/>
        <scheme val="minor"/>
      </rPr>
      <t>oito reuniões de Comissões Temporárias</t>
    </r>
    <r>
      <rPr>
        <sz val="12"/>
        <rFont val="Calibri"/>
        <family val="2"/>
        <scheme val="minor"/>
      </rPr>
      <t xml:space="preserve"> para que cumpram a finalidade regimental de atender demandas específicas de caráter temporário, tais como temas específicos da profissão, sindicâncias, desagravo público, auditorias, inquéritos, tomada de contas especial e processos administrativos, dentre outros.</t>
    </r>
  </si>
  <si>
    <t>Editais de Patrocínio modalidade Patrimônio Cultural</t>
  </si>
  <si>
    <r>
      <t>Ações Institucionais - Fomento e Inovação: lançar</t>
    </r>
    <r>
      <rPr>
        <b/>
        <sz val="12"/>
        <rFont val="Calibri"/>
        <family val="2"/>
        <scheme val="minor"/>
      </rPr>
      <t xml:space="preserve"> Editais de Chamada Pública de Patrocínio na modalidade Patrimônio Cultural</t>
    </r>
    <r>
      <rPr>
        <sz val="12"/>
        <rFont val="Calibri"/>
        <family val="2"/>
        <scheme val="minor"/>
      </rPr>
      <t>, a partir de diretrizes elaboradas pela Comissão de Patrimonial Cultural (CPC-CAU/MG).</t>
    </r>
  </si>
  <si>
    <t>Editais de Patrocínio Modalidade Política Urbana</t>
  </si>
  <si>
    <t>Editais de Patrocínio modalidade Política Urbana</t>
  </si>
  <si>
    <t>Editais de apoio institucional fluxo contínuo</t>
  </si>
  <si>
    <t>Assistência Técnica para Habitação de Interesse Social (Athis)</t>
  </si>
  <si>
    <r>
      <t xml:space="preserve">Ações Institucionais - Fomento e Inovação: lançar </t>
    </r>
    <r>
      <rPr>
        <b/>
        <sz val="12"/>
        <color theme="4" tint="-0.249977111117893"/>
        <rFont val="Calibri"/>
        <family val="2"/>
        <scheme val="minor"/>
      </rPr>
      <t>um Edital de Chamada Pública de Patrocínio na modalidade Assistência Técnica para Habitação de Interesse Social (Athis)</t>
    </r>
    <r>
      <rPr>
        <sz val="12"/>
        <color theme="4" tint="-0.249977111117893"/>
        <rFont val="Calibri"/>
        <family val="2"/>
        <scheme val="minor"/>
      </rPr>
      <t>, a partir de diretrizes elaboradas pela Cathis-CAU/MG, destinado a prmover melhores condições de vida para as populações em situação de vulnerabilidade social, fundamentado na função social do Arquiteto(a) e Urbanista e no que se estabelece como Athis na Lei Federal n° 11.888, de 2008.</t>
    </r>
  </si>
  <si>
    <r>
      <t>Realizar</t>
    </r>
    <r>
      <rPr>
        <b/>
        <sz val="12"/>
        <rFont val="Calibri"/>
        <family val="2"/>
        <scheme val="minor"/>
      </rPr>
      <t xml:space="preserve"> reuniões de relacionamento com Prefeituras Municipais, com órgãos públicos de planejamento urbano e demais instituições</t>
    </r>
    <r>
      <rPr>
        <sz val="12"/>
        <rFont val="Calibri"/>
        <family val="2"/>
        <scheme val="minor"/>
      </rPr>
      <t xml:space="preserve"> de Minas Gerais, para desenvolver representação do CAU/MG para discutir sobre a política urbana municipal e matérias afins.</t>
    </r>
  </si>
  <si>
    <r>
      <t>Realizar</t>
    </r>
    <r>
      <rPr>
        <b/>
        <sz val="12"/>
        <rFont val="Calibri"/>
        <family val="2"/>
        <scheme val="minor"/>
      </rPr>
      <t xml:space="preserve"> reuniões de relacionamento com cursos de Arquitetura e Urbanismo e eventos técnicos em Minas Gerais</t>
    </r>
    <r>
      <rPr>
        <sz val="12"/>
        <rFont val="Calibri"/>
        <family val="2"/>
        <scheme val="minor"/>
      </rPr>
      <t>, sendo 38 (trinta e oito) municípios metropolitanos, quatro municípios sede de escritórios descentralizados e oito outras cidades históricas.</t>
    </r>
  </si>
  <si>
    <r>
      <rPr>
        <b/>
        <sz val="12"/>
        <rFont val="Calibri"/>
        <family val="2"/>
        <scheme val="minor"/>
      </rPr>
      <t>Participações de dirigentes em eventos, reuniões técnicas, treinamentos promovidos pelo CAU/BR</t>
    </r>
    <r>
      <rPr>
        <sz val="12"/>
        <rFont val="Calibri"/>
        <family val="2"/>
        <scheme val="minor"/>
      </rPr>
      <t>, conforme disponibilidade financeira e público alvo do evento.</t>
    </r>
  </si>
  <si>
    <r>
      <rPr>
        <b/>
        <sz val="12"/>
        <rFont val="Calibri"/>
        <family val="2"/>
        <scheme val="minor"/>
      </rPr>
      <t>Participações de colaboradores em eventos, reuniões técnicas, treinamentos promovidos pelo CAU/BR</t>
    </r>
    <r>
      <rPr>
        <sz val="12"/>
        <rFont val="Calibri"/>
        <family val="2"/>
        <scheme val="minor"/>
      </rPr>
      <t>, conforme disponibilidade financeira e público alvo do evento.</t>
    </r>
  </si>
  <si>
    <r>
      <t xml:space="preserve">Realizar </t>
    </r>
    <r>
      <rPr>
        <b/>
        <sz val="12"/>
        <rFont val="Calibri"/>
        <family val="2"/>
        <scheme val="minor"/>
      </rPr>
      <t>capacitações internas ministradas pelos próprios colaboradores</t>
    </r>
    <r>
      <rPr>
        <sz val="12"/>
        <rFont val="Calibri"/>
        <family val="2"/>
        <scheme val="minor"/>
      </rPr>
      <t xml:space="preserve"> para atender demandas identificadas no exercício de suas atividades.</t>
    </r>
  </si>
  <si>
    <r>
      <t>Contratar empresas para a</t>
    </r>
    <r>
      <rPr>
        <b/>
        <sz val="12"/>
        <rFont val="Calibri"/>
        <family val="2"/>
        <scheme val="minor"/>
      </rPr>
      <t xml:space="preserve"> realização de cursos especializados</t>
    </r>
    <r>
      <rPr>
        <sz val="12"/>
        <rFont val="Calibri"/>
        <family val="2"/>
        <scheme val="minor"/>
      </rPr>
      <t>, conforme Plano de Capacitação a ser desenvolvido e aprovado pelo Plenário.</t>
    </r>
  </si>
  <si>
    <r>
      <t xml:space="preserve">Realização de </t>
    </r>
    <r>
      <rPr>
        <b/>
        <sz val="12"/>
        <rFont val="Calibri"/>
        <family val="2"/>
        <scheme val="minor"/>
      </rPr>
      <t>Seminário Técnico Operacional da Área Administrativa Financeira</t>
    </r>
    <r>
      <rPr>
        <sz val="12"/>
        <rFont val="Calibri"/>
        <family val="2"/>
        <scheme val="minor"/>
      </rPr>
      <t xml:space="preserve"> para discussão de procedimentos e melhores práticas operacionais entre os CAU's e outros Conselhos Profissionais convidados</t>
    </r>
  </si>
  <si>
    <t xml:space="preserve">Capacitação dos empregados na LGPD </t>
  </si>
  <si>
    <t>Capacitação dos empregados na Nova Lei de Licitações</t>
  </si>
  <si>
    <t>Capacitação sistemas Implanta informática para os colaboradores da GAF</t>
  </si>
  <si>
    <t xml:space="preserve">Capacitação pregões eletrônicos </t>
  </si>
  <si>
    <r>
      <t xml:space="preserve">Custear </t>
    </r>
    <r>
      <rPr>
        <b/>
        <sz val="12"/>
        <rFont val="Calibri"/>
        <family val="2"/>
        <scheme val="minor"/>
      </rPr>
      <t>participação de colaborador(es) na Conferência Nacional do Secretariado (CONASEC)- 2022</t>
    </r>
  </si>
  <si>
    <t>Contratar e promover treinamento de atendimento aos público para os empregados lotados no Atendimento</t>
  </si>
  <si>
    <t>Qualificação dos Canais de Atendimento</t>
  </si>
  <si>
    <t>Conferência Nacional dos Conselhos Profissionais</t>
  </si>
  <si>
    <t>Capacitação em Informática para os empregados do CAU/MG</t>
  </si>
  <si>
    <r>
      <t xml:space="preserve">Manutenção de </t>
    </r>
    <r>
      <rPr>
        <b/>
        <sz val="12"/>
        <rFont val="Calibri"/>
        <family val="2"/>
        <scheme val="minor"/>
      </rPr>
      <t xml:space="preserve">100% das despesas mensais como o pagamento de colaborador e benefícios </t>
    </r>
    <r>
      <rPr>
        <sz val="12"/>
        <rFont val="Calibri"/>
        <family val="2"/>
        <scheme val="minor"/>
      </rPr>
      <t>para o cumprimento das atribuições da Ouvidoria</t>
    </r>
  </si>
  <si>
    <r>
      <rPr>
        <b/>
        <sz val="12"/>
        <color theme="1"/>
        <rFont val="Calibri"/>
        <family val="2"/>
        <scheme val="minor"/>
      </rPr>
      <t>Manutenção de 100% das despesas mensais com o pagamento de diárias de colaboradores para o cumprimento das atribuições da Assessoria de Comunicação</t>
    </r>
    <r>
      <rPr>
        <sz val="12"/>
        <color theme="1"/>
        <rFont val="Calibri"/>
        <family val="2"/>
        <scheme val="minor"/>
      </rPr>
      <t>, tais como: Acompanhamento da produção, desenvolvimento e distribuição de cartilhas e divulgação de campanhas; Demandas administrativas relativas a assessoria.</t>
    </r>
  </si>
  <si>
    <t>Manter e Desenvolver as Atividades da Assessoria de Comunicação</t>
  </si>
  <si>
    <r>
      <rPr>
        <b/>
        <sz val="12"/>
        <rFont val="Calibri"/>
        <family val="2"/>
        <scheme val="minor"/>
      </rPr>
      <t>Manutenção de 100% das despesas mensais com o pagamento de colaboradores e benefícios para o cumprimento das atribuições da assessoria de comunicação e da assessoria de eventos</t>
    </r>
    <r>
      <rPr>
        <sz val="12"/>
        <rFont val="Calibri"/>
        <family val="2"/>
        <scheme val="minor"/>
      </rPr>
      <t>, tais como: Acompanhamento da produção, desenvolvimento e distribuição de cartilhas e divulgação de campanhas; Demandas administrativas relativas a assessoria.</t>
    </r>
  </si>
  <si>
    <r>
      <rPr>
        <b/>
        <sz val="12"/>
        <rFont val="Calibri"/>
        <family val="2"/>
        <scheme val="minor"/>
      </rPr>
      <t>Manutenção de 100% das despesas mensais com o pagamento de diárias de colaboradores para o cumprimento das atribuições da Assessoria de Comunicação</t>
    </r>
    <r>
      <rPr>
        <sz val="12"/>
        <rFont val="Calibri"/>
        <family val="2"/>
        <scheme val="minor"/>
      </rPr>
      <t>, tais como: Acompanhamento da produção, desenvolvimento e distribuição de cartilhas e divulgação de campanhas; Demandas administrativas relativas a assessoria.</t>
    </r>
  </si>
  <si>
    <r>
      <rPr>
        <b/>
        <sz val="12"/>
        <rFont val="Calibri"/>
        <family val="2"/>
        <scheme val="minor"/>
      </rPr>
      <t xml:space="preserve">Manutenção de 100% das despesas mensais com o pagamento de passagens aéreas, despesas com transporte urbanos (Táxi) </t>
    </r>
    <r>
      <rPr>
        <sz val="12"/>
        <rFont val="Calibri"/>
        <family val="2"/>
        <scheme val="minor"/>
      </rPr>
      <t>para o cumprimento das atribuições da gerência, dentre as quais: monitoramento e realização do Plano de Ação; integração das atividades realizadas pelas unidades administrativas do CAU/MG.</t>
    </r>
  </si>
  <si>
    <t>Elaborar um termo de referência para a contratação de prestação de serviços de publicidade e propaganda.</t>
  </si>
  <si>
    <r>
      <t xml:space="preserve">Fiscalizar a execução de um </t>
    </r>
    <r>
      <rPr>
        <b/>
        <sz val="12"/>
        <rFont val="Calibri"/>
        <family val="2"/>
        <scheme val="minor"/>
      </rPr>
      <t>contrato de prestação de serviços de comunicação integrada</t>
    </r>
    <r>
      <rPr>
        <sz val="12"/>
        <rFont val="Calibri"/>
        <family val="2"/>
        <scheme val="minor"/>
      </rPr>
      <t>.</t>
    </r>
  </si>
  <si>
    <r>
      <rPr>
        <b/>
        <sz val="12"/>
        <rFont val="Calibri"/>
        <family val="2"/>
        <scheme val="minor"/>
      </rPr>
      <t>Plano de Comunicação</t>
    </r>
    <r>
      <rPr>
        <sz val="12"/>
        <rFont val="Calibri"/>
        <family val="2"/>
        <scheme val="minor"/>
      </rPr>
      <t xml:space="preserve">: Elaboração do plano de comunicação para o triênio 2021-2023, </t>
    </r>
    <r>
      <rPr>
        <b/>
        <sz val="12"/>
        <rFont val="Calibri"/>
        <family val="2"/>
        <scheme val="minor"/>
      </rPr>
      <t>por intermédio do contrato de comunicação integrada</t>
    </r>
    <r>
      <rPr>
        <sz val="12"/>
        <rFont val="Calibri"/>
        <family val="2"/>
        <scheme val="minor"/>
      </rPr>
      <t>, a fim de promover uma maior aproximação da autarquia com profissionais, estudantes e sociedade como um todo. Se fazer presente junto à imprensa, mídia, formadores de opinião, entidades, governos, lutando pelo fortalecimento da arquitetura e urbanismo e melhoria da qualidade de vida nas cidades.</t>
    </r>
  </si>
  <si>
    <r>
      <rPr>
        <b/>
        <sz val="12"/>
        <rFont val="Calibri"/>
        <family val="2"/>
        <scheme val="minor"/>
      </rPr>
      <t>Presença nas redes sociais:</t>
    </r>
    <r>
      <rPr>
        <sz val="12"/>
        <rFont val="Calibri"/>
        <family val="2"/>
        <scheme val="minor"/>
      </rPr>
      <t xml:space="preserve"> </t>
    </r>
    <r>
      <rPr>
        <b/>
        <sz val="12"/>
        <rFont val="Calibri"/>
        <family val="2"/>
        <scheme val="minor"/>
      </rPr>
      <t>por intermédio do contrato de comunicação integrada</t>
    </r>
    <r>
      <rPr>
        <sz val="12"/>
        <rFont val="Calibri"/>
        <family val="2"/>
        <scheme val="minor"/>
      </rPr>
      <t>, desenvolver materiais que gerem maior engajamento nas mídias sociais onde o CAU/MG está presente, de modo que mantenha-se uma interação com a autarquia constante, bem como o compartilhamento espontâneo do que é comunicado. Aumentando assim a visibilidade por parte de uma audiência além da esfera de profissionais, estudantes e entusiastas de arquitetura.</t>
    </r>
  </si>
  <si>
    <r>
      <rPr>
        <b/>
        <sz val="12"/>
        <rFont val="Calibri"/>
        <family val="2"/>
        <scheme val="minor"/>
      </rPr>
      <t>Aplicativo do CAU/MG:</t>
    </r>
    <r>
      <rPr>
        <sz val="12"/>
        <rFont val="Calibri"/>
        <family val="2"/>
        <scheme val="minor"/>
      </rPr>
      <t xml:space="preserve"> Ferramenta interativa para uso, tanto de profissionais, como demais interessados. Colocar o Conselho na palma da mão, disponibilizando conteúdo, fontes, arquivos e demais informações referentes à atividade da arquitetura e urbanismo e da autarquia. Realizar ações de transparência, como compartilhamento de decisões do plenário e das comissões, bem como a prestação de contas (integração com o Portal da Transparência). Acessos diretos à todos os serviços do Conselho que são utilizados pelos profissionais, estudantes e sociedade em geral (SICCAU, cadastro de denúncias, registros PF e PJ, redes sociais do CAU/MG, espaço para transmissão da Plenária). </t>
    </r>
    <r>
      <rPr>
        <b/>
        <u/>
        <sz val="12"/>
        <rFont val="Calibri"/>
        <family val="2"/>
        <scheme val="minor"/>
      </rPr>
      <t>Obs.:</t>
    </r>
    <r>
      <rPr>
        <u/>
        <sz val="12"/>
        <rFont val="Calibri"/>
        <family val="2"/>
        <scheme val="minor"/>
      </rPr>
      <t xml:space="preserve"> Entende-se ser um novo aplicativo, uma vez que o Arquiteto Protagonista já tem um propósito bem definido, o que é refletido em seu nome</t>
    </r>
    <r>
      <rPr>
        <sz val="12"/>
        <rFont val="Calibri"/>
        <family val="2"/>
        <scheme val="minor"/>
      </rPr>
      <t xml:space="preserve">. </t>
    </r>
  </si>
  <si>
    <r>
      <rPr>
        <b/>
        <sz val="12"/>
        <rFont val="Calibri"/>
        <family val="2"/>
        <scheme val="minor"/>
      </rPr>
      <t>Desenvolver Campanha - Apresentar o CAU/MG</t>
    </r>
    <r>
      <rPr>
        <sz val="12"/>
        <rFont val="Calibri"/>
        <family val="2"/>
        <scheme val="minor"/>
      </rPr>
      <t>: Sociedade e canais de comunicação devem saber sobre o Conselho, o que é, em que atua, quais suas contribuições para a sociedade, de modo a tornar o órgão uma fonte de segurança e consulta no que diz respeito à construção das cidades e da moradia digna para todos. Relacionamento com grupos locais e imprensa pelo Estado de Minas Gerais.</t>
    </r>
  </si>
  <si>
    <r>
      <rPr>
        <b/>
        <sz val="12"/>
        <rFont val="Calibri"/>
        <family val="2"/>
        <scheme val="minor"/>
      </rPr>
      <t>Campanhas - Valorização e reconhecimento:</t>
    </r>
    <r>
      <rPr>
        <sz val="12"/>
        <rFont val="Calibri"/>
        <family val="2"/>
        <scheme val="minor"/>
      </rPr>
      <t xml:space="preserve"> Promover campanhas de valorização profissional e da profissão. Enaltecer a importância da arquitetura e urbanismo para as cidades e cidadãos, bem como a necessidade de se ter o arquiteto e urbanista atuando regularmente nessa questão.</t>
    </r>
  </si>
  <si>
    <r>
      <rPr>
        <b/>
        <sz val="12"/>
        <rFont val="Calibri"/>
        <family val="2"/>
        <scheme val="minor"/>
      </rPr>
      <t>Campanhas - ATHIS:</t>
    </r>
    <r>
      <rPr>
        <sz val="12"/>
        <rFont val="Calibri"/>
        <family val="2"/>
        <scheme val="minor"/>
      </rPr>
      <t xml:space="preserve"> Promover campanhas de fomento acerca da arquitetura social, orientar profissionais sobre possibilidades e oportunidades, munir a população de informação e material que possa auxiliar na busca pela moradia digna e aproximar de órgãos gestores e entidades que devam/possam agir nesse campo.</t>
    </r>
  </si>
  <si>
    <r>
      <rPr>
        <b/>
        <sz val="12"/>
        <rFont val="Calibri"/>
        <family val="2"/>
        <scheme val="minor"/>
      </rPr>
      <t>Comunicação interna:</t>
    </r>
    <r>
      <rPr>
        <sz val="12"/>
        <rFont val="Calibri"/>
        <family val="2"/>
        <scheme val="minor"/>
      </rPr>
      <t xml:space="preserve"> Utilizando o Microsoft Teams, já incluso no CSC CAU/BR, desenvolver uma ferramenta ou metodologia de comunicação eficiente entre funcionários e Conselheiros do CAU/MG. Promover uma maior agilidade na troca de informações e integração das diversas áreas do Conselho, por meio de armazenamento na nuvem, criação de grupos e canais virtuais e troca de mensagens.</t>
    </r>
  </si>
  <si>
    <r>
      <rPr>
        <b/>
        <sz val="12"/>
        <rFont val="Calibri"/>
        <family val="2"/>
        <scheme val="minor"/>
      </rPr>
      <t>Rede Whatsapp de Comunicação do CAU/MG</t>
    </r>
    <r>
      <rPr>
        <sz val="12"/>
        <rFont val="Calibri"/>
        <family val="2"/>
        <scheme val="minor"/>
      </rPr>
      <t>: Criar rede de divulgação no WhatsApp de ações do CAU/MG que demandam interação com os profissionais, como por exemplo a divulgação de consultas públicas, audiências públicas, votação, mudanças de datas de vencimento de anuidades.</t>
    </r>
  </si>
  <si>
    <t>Manutenção de 100% das despesas mensais com o pagamento de colaboradores e benefícios para o cumprimento das atribuições da Gerência</t>
  </si>
  <si>
    <r>
      <t xml:space="preserve">Manutenção de </t>
    </r>
    <r>
      <rPr>
        <b/>
        <sz val="12"/>
        <rFont val="Calibri"/>
        <family val="2"/>
        <scheme val="minor"/>
      </rPr>
      <t>100% das despesas mensais com diárias de colaboradores</t>
    </r>
    <r>
      <rPr>
        <sz val="12"/>
        <rFont val="Calibri"/>
        <family val="2"/>
        <scheme val="minor"/>
      </rPr>
      <t xml:space="preserve"> para a realização de eventos do CAU/MG fora do município Sede do CAU/MG.</t>
    </r>
  </si>
  <si>
    <r>
      <t xml:space="preserve">Manutenção de </t>
    </r>
    <r>
      <rPr>
        <b/>
        <sz val="12"/>
        <rFont val="Calibri"/>
        <family val="2"/>
        <scheme val="minor"/>
      </rPr>
      <t>100% das despesas mensais com diárias de dirigentes, convidados e palestrantes</t>
    </r>
    <r>
      <rPr>
        <sz val="12"/>
        <rFont val="Calibri"/>
        <family val="2"/>
        <scheme val="minor"/>
      </rPr>
      <t xml:space="preserve"> para a participação em eventos do CAU/MG.</t>
    </r>
  </si>
  <si>
    <r>
      <t xml:space="preserve">Manutenção de </t>
    </r>
    <r>
      <rPr>
        <b/>
        <sz val="12"/>
        <rFont val="Calibri"/>
        <family val="2"/>
        <scheme val="minor"/>
      </rPr>
      <t xml:space="preserve">100% das despesas com a locação de espaço físico, fornecimento de equipamentos e mobiliários, fornecimento de serviços especializados com equipamentos da contratada e contratação de pessoal para realização de eventos </t>
    </r>
    <r>
      <rPr>
        <sz val="12"/>
        <rFont val="Calibri"/>
        <family val="2"/>
        <scheme val="minor"/>
      </rPr>
      <t>do CAU/MG.</t>
    </r>
  </si>
  <si>
    <r>
      <t xml:space="preserve">Manutenção de </t>
    </r>
    <r>
      <rPr>
        <b/>
        <sz val="12"/>
        <rFont val="Calibri"/>
        <family val="2"/>
        <scheme val="minor"/>
      </rPr>
      <t>100% das despesas com o fornecimento de produtos alimentícios e congêneres para eventos</t>
    </r>
    <r>
      <rPr>
        <sz val="12"/>
        <rFont val="Calibri"/>
        <family val="2"/>
        <scheme val="minor"/>
      </rPr>
      <t xml:space="preserve"> realizados pelo CAU/MG. </t>
    </r>
  </si>
  <si>
    <r>
      <rPr>
        <b/>
        <sz val="12"/>
        <rFont val="Calibri"/>
        <family val="2"/>
        <scheme val="minor"/>
      </rPr>
      <t>MINASCON 2022</t>
    </r>
    <r>
      <rPr>
        <sz val="12"/>
        <rFont val="Calibri"/>
        <family val="2"/>
        <scheme val="minor"/>
      </rPr>
      <t>: apoiar e participar de um evento realizado pela Federação das Industrias do Estado de Minas Gerais (FIEMG) de repercussão estadual.</t>
    </r>
  </si>
  <si>
    <r>
      <rPr>
        <b/>
        <sz val="12"/>
        <rFont val="Calibri"/>
        <family val="2"/>
        <scheme val="minor"/>
      </rPr>
      <t>CASACOR Minas Gerais 2022</t>
    </r>
    <r>
      <rPr>
        <sz val="12"/>
        <rFont val="Calibri"/>
        <family val="2"/>
        <scheme val="minor"/>
      </rPr>
      <t>: apoiar e participar em forma de palestra de uma mostra de arquitetura, design de interiores e paisagismo, que reúne renomados arquitetos, designers de interiores e paisagistas.</t>
    </r>
  </si>
  <si>
    <r>
      <t>Dia do Síndico 2022:</t>
    </r>
    <r>
      <rPr>
        <sz val="12"/>
        <rFont val="Calibri"/>
        <family val="2"/>
        <scheme val="minor"/>
      </rPr>
      <t xml:space="preserve"> apoiar e participar junto com a CEP-CAU/MG e CEMIG de um evento comemorativo do dia do síndico celebrado, em 30 de novembro, realizado pelo Sindicato dos Condomínios Comerciais Residenciais e Mistos de Minas Gerais  (Sindicon-MG).</t>
    </r>
  </si>
  <si>
    <t>Manter e Desenvolver as Atividades da Gerência Geral</t>
  </si>
  <si>
    <r>
      <t xml:space="preserve">Manutenção de </t>
    </r>
    <r>
      <rPr>
        <b/>
        <sz val="12"/>
        <rFont val="Calibri"/>
        <family val="2"/>
        <scheme val="minor"/>
      </rPr>
      <t>100% das despesas mensais com o pagamento de colaboradores e benefícios</t>
    </r>
    <r>
      <rPr>
        <sz val="12"/>
        <rFont val="Calibri"/>
        <family val="2"/>
        <scheme val="minor"/>
      </rPr>
      <t xml:space="preserve"> para o cumprimento das atribuições da gerência, dentre as quais: monitoramento e realização do Plano de Ação; integração das atividades realizadas pelas unidades administrativas do CAU/MG.</t>
    </r>
  </si>
  <si>
    <r>
      <t xml:space="preserve">Manutenção de </t>
    </r>
    <r>
      <rPr>
        <b/>
        <sz val="12"/>
        <rFont val="Calibri"/>
        <family val="2"/>
        <scheme val="minor"/>
      </rPr>
      <t xml:space="preserve">100% das despesas mensais com o pagamento de diárias a colaboradores </t>
    </r>
    <r>
      <rPr>
        <sz val="12"/>
        <rFont val="Calibri"/>
        <family val="2"/>
        <scheme val="minor"/>
      </rPr>
      <t>para o cumprimento das atribuições da gerência, dentre as quais: monitoramento e realização do Plano de Ação; integração das atividades realizadas pelas unidades administrativas do CAU/MG.</t>
    </r>
  </si>
  <si>
    <r>
      <t xml:space="preserve">Manutenção de </t>
    </r>
    <r>
      <rPr>
        <b/>
        <sz val="12"/>
        <rFont val="Calibri"/>
        <family val="2"/>
        <scheme val="minor"/>
      </rPr>
      <t>100% das despesas mensais com o pagamento de passagens aéreas e despesas com transporte urbanos (Táxi)</t>
    </r>
    <r>
      <rPr>
        <sz val="12"/>
        <rFont val="Calibri"/>
        <family val="2"/>
        <scheme val="minor"/>
      </rPr>
      <t>, para o cumprimento das atribuições da gerência.</t>
    </r>
  </si>
  <si>
    <r>
      <t xml:space="preserve">Constituição de </t>
    </r>
    <r>
      <rPr>
        <b/>
        <sz val="12"/>
        <rFont val="Calibri"/>
        <family val="2"/>
        <scheme val="minor"/>
      </rPr>
      <t>Grupo de Trabalho sobre tecnologia no CAU/MG</t>
    </r>
  </si>
  <si>
    <r>
      <t xml:space="preserve">Constituição de </t>
    </r>
    <r>
      <rPr>
        <b/>
        <sz val="12"/>
        <rFont val="Calibri"/>
        <family val="2"/>
        <scheme val="minor"/>
      </rPr>
      <t>Grupo de Trabalho para discutir o futuro da sede do CAU/MG</t>
    </r>
  </si>
  <si>
    <r>
      <t>Diálogos</t>
    </r>
    <r>
      <rPr>
        <sz val="12"/>
        <rFont val="Calibri"/>
        <family val="2"/>
        <scheme val="minor"/>
      </rPr>
      <t xml:space="preserve"> - O objetivo destes eventos é promover curtos debates envolvendo a Presidente do CAU/MG e profissional(is) de outras áreas, com temas mais amplos, relacionando-os à atuação do Arquiteto e Urbanista. Em princípio, o formato é virtual, transmitido pelo canal YouTube do CAU/MG, e totalmente gratuito</t>
    </r>
    <r>
      <rPr>
        <b/>
        <sz val="12"/>
        <rFont val="Calibri"/>
        <family val="2"/>
        <scheme val="minor"/>
      </rPr>
      <t>, com visualização mínima estimada de 80 views</t>
    </r>
  </si>
  <si>
    <t>Mudança e Adequações da nova Sede e escritórios descentralizados do CAU/MG</t>
  </si>
  <si>
    <r>
      <rPr>
        <b/>
        <sz val="12"/>
        <rFont val="Calibri"/>
        <family val="2"/>
        <scheme val="minor"/>
      </rPr>
      <t xml:space="preserve">Adequação de espaços físicos </t>
    </r>
    <r>
      <rPr>
        <sz val="12"/>
        <rFont val="Calibri"/>
        <family val="2"/>
        <scheme val="minor"/>
      </rPr>
      <t xml:space="preserve">da Sede e Escritórios descentralizados do CAU/MG- </t>
    </r>
    <r>
      <rPr>
        <b/>
        <sz val="12"/>
        <rFont val="Calibri"/>
        <family val="2"/>
        <scheme val="minor"/>
      </rPr>
      <t>Serviços Diversos</t>
    </r>
  </si>
  <si>
    <r>
      <rPr>
        <b/>
        <sz val="12"/>
        <rFont val="Calibri"/>
        <family val="2"/>
        <scheme val="minor"/>
      </rPr>
      <t xml:space="preserve">Adequação de espaços físicos </t>
    </r>
    <r>
      <rPr>
        <sz val="12"/>
        <rFont val="Calibri"/>
        <family val="2"/>
        <scheme val="minor"/>
      </rPr>
      <t xml:space="preserve">da Sede e Escritórios descentralizados do CAU/MG- </t>
    </r>
    <r>
      <rPr>
        <b/>
        <sz val="12"/>
        <rFont val="Calibri"/>
        <family val="2"/>
        <scheme val="minor"/>
      </rPr>
      <t>Itens Imobilizados</t>
    </r>
  </si>
  <si>
    <t>Manter e Desenvolver as Atividades da Secretaria Geral</t>
  </si>
  <si>
    <r>
      <t xml:space="preserve">Manutenção de </t>
    </r>
    <r>
      <rPr>
        <b/>
        <sz val="12"/>
        <rFont val="Calibri"/>
        <family val="2"/>
        <scheme val="minor"/>
      </rPr>
      <t xml:space="preserve">100% das despesas mensais como o pagamento de colaboradores e benefícios </t>
    </r>
    <r>
      <rPr>
        <sz val="12"/>
        <rFont val="Calibri"/>
        <family val="2"/>
        <scheme val="minor"/>
      </rPr>
      <t>para o cumprimento das atribuições da secretaria, tais como: elaboração de documentos e correspondências oficiais, gestão documental da Presidência do CAU/MG, cotação de preços etc.</t>
    </r>
  </si>
  <si>
    <r>
      <t xml:space="preserve">Manutenção de </t>
    </r>
    <r>
      <rPr>
        <b/>
        <sz val="12"/>
        <rFont val="Calibri"/>
        <family val="2"/>
        <scheme val="minor"/>
      </rPr>
      <t>100% das despesas mensais como o pagamento de diárias de colaboradores</t>
    </r>
    <r>
      <rPr>
        <sz val="12"/>
        <rFont val="Calibri"/>
        <family val="2"/>
        <scheme val="minor"/>
      </rPr>
      <t xml:space="preserve"> para o cumprimento das atribuições da secretaria, tais como: elaboração de documentos e correspondências oficiais, gestão documental da Presidência do CAU/MG, cotação de preços etc.</t>
    </r>
  </si>
  <si>
    <r>
      <t xml:space="preserve">Manutenção de </t>
    </r>
    <r>
      <rPr>
        <b/>
        <sz val="12"/>
        <rFont val="Calibri"/>
        <family val="2"/>
        <scheme val="minor"/>
      </rPr>
      <t>100% das despesas mensais com passagem aérea, serviço de postagens institucionais, serviços de transporte urbanos (Táxi)</t>
    </r>
    <r>
      <rPr>
        <sz val="12"/>
        <rFont val="Calibri"/>
        <family val="2"/>
        <scheme val="minor"/>
      </rPr>
      <t xml:space="preserve"> </t>
    </r>
    <r>
      <rPr>
        <b/>
        <sz val="12"/>
        <rFont val="Calibri"/>
        <family val="2"/>
        <scheme val="minor"/>
      </rPr>
      <t>e remuneração de estagiários</t>
    </r>
    <r>
      <rPr>
        <sz val="12"/>
        <rFont val="Calibri"/>
        <family val="2"/>
        <scheme val="minor"/>
      </rPr>
      <t xml:space="preserve"> para o cumprimento das atribuições da secretaria, tais como: elaboração de documentos e correspondências oficiais, gestão documental da Presidência do CAU/MG, cotação de preços etc.</t>
    </r>
  </si>
  <si>
    <r>
      <rPr>
        <b/>
        <sz val="12"/>
        <rFont val="Calibri"/>
        <family val="2"/>
        <scheme val="minor"/>
      </rPr>
      <t xml:space="preserve">Aprimorar a digitalização de correspondências </t>
    </r>
    <r>
      <rPr>
        <sz val="12"/>
        <rFont val="Calibri"/>
        <family val="2"/>
        <scheme val="minor"/>
      </rPr>
      <t>recebidas para encaminhamento digital para os setores</t>
    </r>
  </si>
  <si>
    <r>
      <rPr>
        <b/>
        <sz val="12"/>
        <rFont val="Calibri"/>
        <family val="2"/>
        <scheme val="minor"/>
      </rPr>
      <t>Acompanhar mudanças na forma de inclusão de entidades no CEAU</t>
    </r>
    <r>
      <rPr>
        <sz val="12"/>
        <rFont val="Calibri"/>
        <family val="2"/>
        <scheme val="minor"/>
      </rPr>
      <t>, para que as Entidades de estudantes e entidades estaduais que não possuem CNPJ estadual, possam participar do CEAU, deste que ambas sejam formadas exclusivamente por profissionais e estudantes de arquitetura e urbanismo.</t>
    </r>
  </si>
  <si>
    <r>
      <rPr>
        <b/>
        <sz val="12"/>
        <rFont val="Calibri"/>
        <family val="2"/>
        <scheme val="minor"/>
      </rPr>
      <t>Promover a Gestão Documental do CAU/MG</t>
    </r>
    <r>
      <rPr>
        <sz val="12"/>
        <rFont val="Calibri"/>
        <family val="2"/>
        <scheme val="minor"/>
      </rPr>
      <t>, atendendo à Portaria 398 do Arquivo Nacional</t>
    </r>
  </si>
  <si>
    <r>
      <t>Manutenção de</t>
    </r>
    <r>
      <rPr>
        <b/>
        <sz val="12"/>
        <rFont val="Calibri"/>
        <family val="2"/>
        <scheme val="minor"/>
      </rPr>
      <t xml:space="preserve"> 100% das despesas mensais com salários e benefícios de colaboradores</t>
    </r>
    <r>
      <rPr>
        <sz val="12"/>
        <rFont val="Calibri"/>
        <family val="2"/>
        <scheme val="minor"/>
      </rPr>
      <t xml:space="preserve"> para o cumprimento das atribuições da Coordenação de Fiscalização da Sede e dos Escritórios Descentralizados.</t>
    </r>
  </si>
  <si>
    <r>
      <t xml:space="preserve">Manutenção de </t>
    </r>
    <r>
      <rPr>
        <b/>
        <sz val="12"/>
        <rFont val="Calibri"/>
        <family val="2"/>
        <scheme val="minor"/>
      </rPr>
      <t>100% das despesas mensais relacionadas aos deslocamentos de colaboradores</t>
    </r>
    <r>
      <rPr>
        <sz val="12"/>
        <rFont val="Calibri"/>
        <family val="2"/>
        <scheme val="minor"/>
      </rPr>
      <t xml:space="preserve"> a serviço do CAU/MG, tais como diária e adicional de embarque e desembarque, para o cumprimento das atribuições da Coordenação de Fiscalização da Sede e dos Escritórios Descentralizados.</t>
    </r>
  </si>
  <si>
    <r>
      <t>Manutenção de</t>
    </r>
    <r>
      <rPr>
        <b/>
        <sz val="12"/>
        <rFont val="Calibri"/>
        <family val="2"/>
        <scheme val="minor"/>
      </rPr>
      <t xml:space="preserve"> 100% das despesas mensais com serviços de postagens institucionais (Correios), hospedagens de colaboradores, serviço de fornecimento de Bases de Dados e/ou Mailing, remuneração de estagiários e despesas de transportes urbanos (táxi)</t>
    </r>
    <r>
      <rPr>
        <sz val="12"/>
        <rFont val="Calibri"/>
        <family val="2"/>
        <scheme val="minor"/>
      </rPr>
      <t xml:space="preserve"> para o cumprimento das atribuições da Coordenação de Fiscalização da Sede e dos Escritórios Descentralizados.</t>
    </r>
  </si>
  <si>
    <r>
      <t>Manutenção de</t>
    </r>
    <r>
      <rPr>
        <b/>
        <sz val="12"/>
        <rFont val="Calibri"/>
        <family val="2"/>
        <scheme val="minor"/>
      </rPr>
      <t xml:space="preserve"> 100% das despesas com aquisição de Materiais de Segurança / EPI / Materiais</t>
    </r>
    <r>
      <rPr>
        <sz val="12"/>
        <rFont val="Calibri"/>
        <family val="2"/>
        <scheme val="minor"/>
      </rPr>
      <t xml:space="preserve"> para o cumprimento das atribuições da Coordenação de Fiscalização da Sede e dos Escritórios Descentralizados.</t>
    </r>
  </si>
  <si>
    <r>
      <t xml:space="preserve">Ações Institucionais - Frentes de Fiscalização: realizar fiscalização em </t>
    </r>
    <r>
      <rPr>
        <b/>
        <sz val="12"/>
        <rFont val="Calibri"/>
        <family val="2"/>
        <scheme val="minor"/>
      </rPr>
      <t>9 (nove) cidades que constituem conjunto urbano tombado</t>
    </r>
    <r>
      <rPr>
        <sz val="12"/>
        <rFont val="Calibri"/>
        <family val="2"/>
        <scheme val="minor"/>
      </rPr>
      <t>, para identificar a participação mínima de 80% dos profissionais de Arquitetura e Urbanismo.</t>
    </r>
  </si>
  <si>
    <r>
      <t>Ações Institucionais - Frentes de Fiscalização: realizar fiscalização em</t>
    </r>
    <r>
      <rPr>
        <b/>
        <sz val="12"/>
        <rFont val="Calibri"/>
        <family val="2"/>
        <scheme val="minor"/>
      </rPr>
      <t xml:space="preserve"> seis Feiras e Exposições (conforme demanda)</t>
    </r>
    <r>
      <rPr>
        <sz val="12"/>
        <rFont val="Calibri"/>
        <family val="2"/>
        <scheme val="minor"/>
      </rPr>
      <t>, para identificar a participação mínima de 80% dos profissionais de Arquitetura e Urbanismo.</t>
    </r>
  </si>
  <si>
    <r>
      <t xml:space="preserve">Ações Institucionais - Frentes de Fiscalização: realizar ação educativa/preventiva mediante distribuição do informativo "Reforma Legal" em </t>
    </r>
    <r>
      <rPr>
        <b/>
        <sz val="12"/>
        <rFont val="Calibri"/>
        <family val="2"/>
        <scheme val="minor"/>
      </rPr>
      <t>1.000 (mil) condomínios verticais e horizontais.</t>
    </r>
  </si>
  <si>
    <r>
      <t xml:space="preserve">Ações Institucionais - Frentes de Fiscalização: realizar ação de fiscalização da participação e regularização de </t>
    </r>
    <r>
      <rPr>
        <b/>
        <sz val="12"/>
        <rFont val="Calibri"/>
        <family val="2"/>
        <scheme val="minor"/>
      </rPr>
      <t xml:space="preserve">pelo menos 60% de profissionais de Arquitetura e Urbanismo em processos de Licenciamento e Aprovação de obras, do total de 100% dos profissionais citados nas listas de licenciamento e aprovação de obras </t>
    </r>
    <r>
      <rPr>
        <sz val="12"/>
        <rFont val="Calibri"/>
        <family val="2"/>
        <scheme val="minor"/>
      </rPr>
      <t>adquiridas junto às Prefeituras.</t>
    </r>
  </si>
  <si>
    <r>
      <t xml:space="preserve">Ações Institucionais - Frentes de Fiscalização: realizar ação de fiscalização do objeto social para a regularização de pelo menos </t>
    </r>
    <r>
      <rPr>
        <b/>
        <sz val="12"/>
        <rFont val="Calibri"/>
        <family val="2"/>
        <scheme val="minor"/>
      </rPr>
      <t>25% das pessoas jurídicas de Arquitetura e Urbanismo com obrigatoriedade de registro no CAU, do total de 100% das pessoas jurídicas listadas</t>
    </r>
    <r>
      <rPr>
        <sz val="12"/>
        <rFont val="Calibri"/>
        <family val="2"/>
        <scheme val="minor"/>
      </rPr>
      <t xml:space="preserve"> conforme informações adquiridas junto à Junta Comercial do Estado de Minas Gerais (JUCEMG).</t>
    </r>
  </si>
  <si>
    <r>
      <t xml:space="preserve">Ações Institucionais - Frentes de Fiscalização: realizar ação de fiscalização de Listas de Editais serviços de Arquitetura e Urbanismo (através de aquisição de clipping), garantindo </t>
    </r>
    <r>
      <rPr>
        <b/>
        <sz val="12"/>
        <rFont val="Calibri"/>
        <family val="2"/>
        <scheme val="minor"/>
      </rPr>
      <t>a participação de pelo menos 65% de profissionais e de pessoas jurídicas de Arquitetura e Urbanismo em processos licitatórios e envio de contribuições de retificações de pelo menos 80% editais de serviços de Arquitetura e Urbanismo.</t>
    </r>
  </si>
  <si>
    <r>
      <t xml:space="preserve">Ações Institucionais - Frentes de Fiscalização: realizar ação de fiscalização educativa/preventiva junto aos profissionais de Arquitetura e Urbanismo sem RRT de Cargo e Função que compõem equipes técnicas de órgãos públicos, para </t>
    </r>
    <r>
      <rPr>
        <b/>
        <sz val="12"/>
        <rFont val="Calibri"/>
        <family val="2"/>
        <scheme val="minor"/>
      </rPr>
      <t>a regularização de pelo menos 50% da atuação destes profissionais.</t>
    </r>
  </si>
  <si>
    <r>
      <t>Ações Institucionais - Frentes de Fiscalização: realizar ação de fiscalização educativa/preventiva junto aos profissionais de Arquitetura e Urbanismo sem RRT de Cargo e Função que atuam como docentes em cursos de Arquitetura e Urbanismo, para</t>
    </r>
    <r>
      <rPr>
        <b/>
        <sz val="12"/>
        <rFont val="Calibri"/>
        <family val="2"/>
        <scheme val="minor"/>
      </rPr>
      <t xml:space="preserve"> a regularização de pelo menos 50% da atuação destes profissionais.</t>
    </r>
  </si>
  <si>
    <r>
      <t xml:space="preserve">Capacitação - Treinamento e reuniões: elaborar proposta e realizar calendário semestral de </t>
    </r>
    <r>
      <rPr>
        <b/>
        <sz val="12"/>
        <rFont val="Calibri"/>
        <family val="2"/>
        <scheme val="minor"/>
      </rPr>
      <t>quatro reuniões de fiscalização para o alinhamento das ações entre as agentes de fiscalização, de modo a atingir uma média de 2 horas de capacitação por agente de fiscalização.</t>
    </r>
  </si>
  <si>
    <r>
      <t xml:space="preserve">Ações Institucionais - Frentes de Fiscalização: realizar por meio do Projeto Rotas </t>
    </r>
    <r>
      <rPr>
        <b/>
        <sz val="12"/>
        <rFont val="Calibri"/>
        <family val="2"/>
        <scheme val="minor"/>
      </rPr>
      <t>1.500 (mil e quinhentas) ações de fiscalização</t>
    </r>
    <r>
      <rPr>
        <sz val="12"/>
        <rFont val="Calibri"/>
        <family val="2"/>
        <scheme val="minor"/>
      </rPr>
      <t xml:space="preserve"> de atividades de projeto, execução construções, de obras de reformas e interiores em diversas cidades mineiras.</t>
    </r>
    <r>
      <rPr>
        <b/>
        <sz val="12"/>
        <rFont val="Calibri"/>
        <family val="2"/>
        <scheme val="minor"/>
      </rPr>
      <t xml:space="preserve"> Despesas com diárias das agentes de fiscalização do Projeto Rotas.</t>
    </r>
  </si>
  <si>
    <r>
      <t>Ações Institucionais - Frentes de Fiscalização: realizar por meio do Projeto Rotas</t>
    </r>
    <r>
      <rPr>
        <b/>
        <sz val="12"/>
        <rFont val="Calibri"/>
        <family val="2"/>
        <scheme val="minor"/>
      </rPr>
      <t xml:space="preserve"> 1.500 (mil e quinhentas) ações de fiscalização</t>
    </r>
    <r>
      <rPr>
        <sz val="12"/>
        <rFont val="Calibri"/>
        <family val="2"/>
        <scheme val="minor"/>
      </rPr>
      <t xml:space="preserve"> de atividades de projeto, execução construções, de obras de reformas e interiores em diversas cidades mineiras. </t>
    </r>
    <r>
      <rPr>
        <b/>
        <sz val="12"/>
        <rFont val="Calibri"/>
        <family val="2"/>
        <scheme val="minor"/>
      </rPr>
      <t>Despesas com combustíveis e Lubrificantes.</t>
    </r>
  </si>
  <si>
    <r>
      <t xml:space="preserve">Ações Institucionais - Frentes de Fiscalização: realizar por meio do Projeto Rotas </t>
    </r>
    <r>
      <rPr>
        <b/>
        <sz val="12"/>
        <rFont val="Calibri"/>
        <family val="2"/>
        <scheme val="minor"/>
      </rPr>
      <t>1.500 (mil e quinhentas) ações de fiscalização</t>
    </r>
    <r>
      <rPr>
        <sz val="12"/>
        <rFont val="Calibri"/>
        <family val="2"/>
        <scheme val="minor"/>
      </rPr>
      <t xml:space="preserve"> de atividades de projeto, execução construções, de obras de reformas e interiores em diversas cidades mineiras. </t>
    </r>
    <r>
      <rPr>
        <b/>
        <sz val="12"/>
        <rFont val="Calibri"/>
        <family val="2"/>
        <scheme val="minor"/>
      </rPr>
      <t>Despesas com hospedagem de colaboradores eventuais (Motorista contratado para o Projeto Rotas).</t>
    </r>
  </si>
  <si>
    <r>
      <t xml:space="preserve">Ações Institucionais - Frentes de Fiscalização: realizar por meio do Projeto Rotas </t>
    </r>
    <r>
      <rPr>
        <b/>
        <sz val="12"/>
        <rFont val="Calibri"/>
        <family val="2"/>
        <scheme val="minor"/>
      </rPr>
      <t xml:space="preserve">1.500 (mil e quinhentas) ações de fiscalização </t>
    </r>
    <r>
      <rPr>
        <sz val="12"/>
        <rFont val="Calibri"/>
        <family val="2"/>
        <scheme val="minor"/>
      </rPr>
      <t xml:space="preserve">de atividades de projeto, execução construções, de obras de reformas e interiores em diversas cidades mineiras. </t>
    </r>
    <r>
      <rPr>
        <b/>
        <sz val="12"/>
        <rFont val="Calibri"/>
        <family val="2"/>
        <scheme val="minor"/>
      </rPr>
      <t>Despesas com manutenção de veículos, despesas com locação de veículo, contratação de motorista executivo  e despesas com seguro da Van do Projeto Rotas.</t>
    </r>
  </si>
  <si>
    <r>
      <t xml:space="preserve">Ações Institucionais - Frentes de Fiscalização: realizar por meio do Projeto Rotas verificação de </t>
    </r>
    <r>
      <rPr>
        <b/>
        <sz val="12"/>
        <rFont val="Calibri"/>
        <family val="2"/>
        <scheme val="minor"/>
      </rPr>
      <t>90% do total de denúncias recebidas.</t>
    </r>
  </si>
  <si>
    <t>Adequações para a Van do CAU/MG</t>
  </si>
  <si>
    <t xml:space="preserve">Centro de Serviços Compartilhados (CSC) - Fiscalização </t>
  </si>
  <si>
    <r>
      <t xml:space="preserve">Cumprir calendário de </t>
    </r>
    <r>
      <rPr>
        <b/>
        <sz val="12"/>
        <rFont val="Calibri"/>
        <family val="2"/>
        <scheme val="minor"/>
      </rPr>
      <t>12 (doze) parcelas de repasse mensal ao Centro de Serviços Compartilhados (CSC) do CAU/BR.</t>
    </r>
  </si>
  <si>
    <r>
      <t>Manutenção de</t>
    </r>
    <r>
      <rPr>
        <b/>
        <sz val="12"/>
        <rFont val="Calibri"/>
        <family val="2"/>
        <scheme val="minor"/>
      </rPr>
      <t xml:space="preserve"> 100% das despesas mensais com salários e benefícios de colaboradores </t>
    </r>
    <r>
      <rPr>
        <sz val="12"/>
        <rFont val="Calibri"/>
        <family val="2"/>
        <scheme val="minor"/>
      </rPr>
      <t>para o cumprimento das atribuições da Coordenação Técnica.</t>
    </r>
  </si>
  <si>
    <r>
      <t>Manutenção de 1</t>
    </r>
    <r>
      <rPr>
        <b/>
        <sz val="12"/>
        <rFont val="Calibri"/>
        <family val="2"/>
        <scheme val="minor"/>
      </rPr>
      <t xml:space="preserve">00% das despesas mensais relacionadas aos deslocamentos de colaboradores </t>
    </r>
    <r>
      <rPr>
        <sz val="12"/>
        <rFont val="Calibri"/>
        <family val="2"/>
        <scheme val="minor"/>
      </rPr>
      <t>a serviço do CAU/MG, tais como diária e adicional de embarque e desembarque, para o cumprimento das atribuições da Coordenação Técnica.</t>
    </r>
  </si>
  <si>
    <r>
      <t xml:space="preserve">Manutenção de </t>
    </r>
    <r>
      <rPr>
        <b/>
        <sz val="12"/>
        <rFont val="Calibri"/>
        <family val="2"/>
        <scheme val="minor"/>
      </rPr>
      <t>100% das despesas mensais com serviços de postagens institucionais (Correios), hospedagens de colaboradores, remuneração de estagiários e despesas de transportes urbanos (táxi)</t>
    </r>
    <r>
      <rPr>
        <sz val="12"/>
        <rFont val="Calibri"/>
        <family val="2"/>
        <scheme val="minor"/>
      </rPr>
      <t xml:space="preserve"> para o cumprimento das atribuições da Coordenação Técnica.</t>
    </r>
  </si>
  <si>
    <r>
      <t xml:space="preserve">Manutenção de </t>
    </r>
    <r>
      <rPr>
        <b/>
        <sz val="12"/>
        <rFont val="Calibri"/>
        <family val="2"/>
        <scheme val="minor"/>
      </rPr>
      <t>100% das despesas mensais com serviços da Unidade de Resposta  Audível (URA)</t>
    </r>
  </si>
  <si>
    <t>Contratar empresa de telefonia pela internet</t>
  </si>
  <si>
    <r>
      <rPr>
        <sz val="12"/>
        <rFont val="Calibri"/>
        <family val="2"/>
        <scheme val="minor"/>
      </rPr>
      <t xml:space="preserve">Realizar </t>
    </r>
    <r>
      <rPr>
        <b/>
        <sz val="12"/>
        <rFont val="Calibri"/>
        <family val="2"/>
        <scheme val="minor"/>
      </rPr>
      <t>oficinas virtuais de questões relacionadas ao SICCAU</t>
    </r>
  </si>
  <si>
    <t>Autoatendimento</t>
  </si>
  <si>
    <r>
      <rPr>
        <sz val="12"/>
        <rFont val="Calibri"/>
        <family val="2"/>
        <scheme val="minor"/>
      </rPr>
      <t>Realizar</t>
    </r>
    <r>
      <rPr>
        <b/>
        <sz val="12"/>
        <rFont val="Calibri"/>
        <family val="2"/>
        <scheme val="minor"/>
      </rPr>
      <t xml:space="preserve"> oficinas virtuais de Tabela de Honorários</t>
    </r>
  </si>
  <si>
    <t>Locação dos aparelhos de Leitura Biométrica junto ao Conselho de Arquitetura e Urbanismo do Brasil- CAU/BR</t>
  </si>
  <si>
    <r>
      <t xml:space="preserve">Cumprir calendário de </t>
    </r>
    <r>
      <rPr>
        <b/>
        <sz val="12"/>
        <rFont val="Calibri"/>
        <family val="2"/>
        <scheme val="minor"/>
      </rPr>
      <t>12 (doze) parcelas de repasse mensal ao Centro de Serviços Compartilhados (CSC) do CAU/BR, no que tange ao Teleatendimento Qualificado (TAQ) e ao Teleatendimento pelo 0800.</t>
    </r>
  </si>
  <si>
    <r>
      <t xml:space="preserve">Manutenção de </t>
    </r>
    <r>
      <rPr>
        <b/>
        <sz val="12"/>
        <rFont val="Calibri"/>
        <family val="2"/>
        <scheme val="minor"/>
      </rPr>
      <t>100% das despesas mensais com o pagamento de colaboradores e benefícios</t>
    </r>
    <r>
      <rPr>
        <sz val="12"/>
        <rFont val="Calibri"/>
        <family val="2"/>
        <scheme val="minor"/>
      </rPr>
      <t xml:space="preserve"> para o cumprimento das atribuições da gerência, tais como: atuar em ajuizamento e defesa em ações do CAU/MG na Justiça; Cumprir expedientes de rotina atribuída à Gerência pelos atos normativos do CAU/MG, emitir pareceres jurídicos etc.</t>
    </r>
  </si>
  <si>
    <r>
      <t xml:space="preserve">Manutenção de </t>
    </r>
    <r>
      <rPr>
        <b/>
        <sz val="12"/>
        <rFont val="Calibri"/>
        <family val="2"/>
        <scheme val="minor"/>
      </rPr>
      <t>100% das despesas mensais com o pagamento de diárias aos colaboradores</t>
    </r>
    <r>
      <rPr>
        <sz val="12"/>
        <rFont val="Calibri"/>
        <family val="2"/>
        <scheme val="minor"/>
      </rPr>
      <t xml:space="preserve"> para o cumprimento das atribuições da gerência, tais como: atuar em ajuizamento e defesa em ações do CAU/MG na Justiça; Cumprir expedientes de rotina atribuída à Gerência pelos atos normativos do CAU/MG, emitir pareceres jurídicos etc.</t>
    </r>
  </si>
  <si>
    <r>
      <t xml:space="preserve">Manutenção de </t>
    </r>
    <r>
      <rPr>
        <b/>
        <sz val="12"/>
        <rFont val="Calibri"/>
        <family val="2"/>
        <scheme val="minor"/>
      </rPr>
      <t xml:space="preserve">100% das despesas mensais com a compra de passagem aérea, serviço de postagens institucionais, serviços de transporte urbanos (Táxi) e remuneração de estagiários </t>
    </r>
    <r>
      <rPr>
        <sz val="12"/>
        <rFont val="Calibri"/>
        <family val="2"/>
        <scheme val="minor"/>
      </rPr>
      <t>para o cumprimento das atribuições da gerência jurídica, tais como: atuar em ajuizamento e defesa em ações do CAU/MG na Justiça; Cumprir expedientes de rotina atribuída à Gerência pelos atos normativos do CAU/MG, emitir pareceres jurídicos etc.</t>
    </r>
  </si>
  <si>
    <r>
      <t xml:space="preserve">Manutenção de </t>
    </r>
    <r>
      <rPr>
        <b/>
        <sz val="12"/>
        <rFont val="Calibri"/>
        <family val="2"/>
        <scheme val="minor"/>
      </rPr>
      <t xml:space="preserve">100% das despesas mensais com custas judiciais </t>
    </r>
    <r>
      <rPr>
        <sz val="12"/>
        <rFont val="Calibri"/>
        <family val="2"/>
        <scheme val="minor"/>
      </rPr>
      <t>para o cumprimento das atribuições da gerência jurídica, tais como: atuar em ajuizamento e defesa em ações do CAU/MG na Justiça; Cumprir expedientes de rotina atribuída à Gerência pelos atos normativos do CAU/MG, emitir pareceres jurídicos etc.</t>
    </r>
  </si>
  <si>
    <t>Contratação de software para controle de ações judiciais</t>
  </si>
  <si>
    <r>
      <t xml:space="preserve">Cumprir o calendário de </t>
    </r>
    <r>
      <rPr>
        <b/>
        <sz val="12"/>
        <rFont val="Calibri"/>
        <family val="2"/>
        <scheme val="minor"/>
      </rPr>
      <t>12 (doze) parcelas de repasse mensal ao Fundo de Apoio.</t>
    </r>
  </si>
  <si>
    <r>
      <t xml:space="preserve">Garantir Reserva de Contingência a partir da criação de um </t>
    </r>
    <r>
      <rPr>
        <b/>
        <sz val="12"/>
        <rFont val="Calibri"/>
        <family val="2"/>
        <scheme val="minor"/>
      </rPr>
      <t>fundo para despesas não previstas ou necessidade de transposições.</t>
    </r>
  </si>
  <si>
    <r>
      <t xml:space="preserve">Manutenção de </t>
    </r>
    <r>
      <rPr>
        <b/>
        <sz val="12"/>
        <rFont val="Calibri"/>
        <family val="2"/>
        <scheme val="minor"/>
      </rPr>
      <t>100% das despesas mensais com o pagamento de colaboradores e benefícios</t>
    </r>
    <r>
      <rPr>
        <sz val="12"/>
        <rFont val="Calibri"/>
        <family val="2"/>
        <scheme val="minor"/>
      </rPr>
      <t xml:space="preserve"> para o cumprimento das atribuições da gerência.</t>
    </r>
  </si>
  <si>
    <r>
      <t xml:space="preserve">Manutenção de </t>
    </r>
    <r>
      <rPr>
        <b/>
        <sz val="12"/>
        <rFont val="Calibri"/>
        <family val="2"/>
        <scheme val="minor"/>
      </rPr>
      <t>100% das despesas mensais com material de expediente, material de copa e cozinha, fornecimento de gêneros alimentícios e materiais para manutenção de bens móveis.</t>
    </r>
  </si>
  <si>
    <r>
      <t xml:space="preserve">Manutenção de </t>
    </r>
    <r>
      <rPr>
        <b/>
        <sz val="12"/>
        <rFont val="Calibri"/>
        <family val="2"/>
        <scheme val="minor"/>
      </rPr>
      <t xml:space="preserve">100% das despesas mensais com os serviços de internet, informática, telecomunicações, limpeza e conservação, energia elétrica, medicina do trabalho, contratação de estagiários, Publicação de Editais, Despesas Miúdas de Pronto Pagamento e Demais Serviços Prestados </t>
    </r>
    <r>
      <rPr>
        <sz val="12"/>
        <rFont val="Calibri"/>
        <family val="2"/>
        <scheme val="minor"/>
      </rPr>
      <t>para o cumprimento das atribuições da gerência administrativa e financeira.</t>
    </r>
  </si>
  <si>
    <r>
      <t xml:space="preserve">Manutenção de </t>
    </r>
    <r>
      <rPr>
        <b/>
        <sz val="12"/>
        <rFont val="Calibri"/>
        <family val="2"/>
        <scheme val="minor"/>
      </rPr>
      <t>100% das despesas mensais com o pagamento de indenizações e restituições, Impostos e taxas, tarifas bancárias, seguros diversos.</t>
    </r>
  </si>
  <si>
    <r>
      <t xml:space="preserve">Aquisição de </t>
    </r>
    <r>
      <rPr>
        <b/>
        <sz val="12"/>
        <rFont val="Calibri"/>
        <family val="2"/>
        <scheme val="minor"/>
      </rPr>
      <t>100% de bens imobilizados necessários para Sede e Escritórios Descentralizados do CAU/MG.</t>
    </r>
  </si>
  <si>
    <r>
      <t xml:space="preserve">Visita, em conjunto com a área técnica, a todas unidades de Escritórios Descentralizados para </t>
    </r>
    <r>
      <rPr>
        <b/>
        <sz val="12"/>
        <rFont val="Calibri"/>
        <family val="2"/>
        <scheme val="minor"/>
      </rPr>
      <t>levantamento de possíveis necessidades de aprimoramento</t>
    </r>
    <r>
      <rPr>
        <sz val="12"/>
        <rFont val="Calibri"/>
        <family val="2"/>
        <scheme val="minor"/>
      </rPr>
      <t xml:space="preserve"> (Infraestrutura, Pessoal, Processos Internos, Visibilidade, Acessibibilidade e Outros posteriormente elencados)</t>
    </r>
  </si>
  <si>
    <t>Estender ações / medidas de implementação de tratamento e reciclagem de sólidos para os Escritórios Descentralizados</t>
  </si>
  <si>
    <r>
      <rPr>
        <b/>
        <sz val="12"/>
        <rFont val="Calibri"/>
        <family val="2"/>
        <scheme val="minor"/>
      </rPr>
      <t>Realização anual de audiência pública virtual de prestação de contas do CAU/MG</t>
    </r>
    <r>
      <rPr>
        <sz val="12"/>
        <rFont val="Calibri"/>
        <family val="2"/>
        <scheme val="minor"/>
      </rPr>
      <t xml:space="preserve"> (demonstração de  fontes de renda, e as despesas realizadas, as projeções para o ano seguinte, as despesas agrupadas por ações do CAU/MG e os formatos de pesquisa no Portal da Transparência).</t>
    </r>
  </si>
  <si>
    <r>
      <t xml:space="preserve">Manutenção de </t>
    </r>
    <r>
      <rPr>
        <b/>
        <sz val="12"/>
        <rFont val="Calibri"/>
        <family val="2"/>
        <scheme val="minor"/>
      </rPr>
      <t>100% das despesas mensais com o pagamento de colaboradores e benefícios</t>
    </r>
    <r>
      <rPr>
        <sz val="12"/>
        <rFont val="Calibri"/>
        <family val="2"/>
        <scheme val="minor"/>
      </rPr>
      <t xml:space="preserve"> para o cumprimento das atribuições da Gerência, tais como: Elaboração dos Planos de Ação; Termos de cooperação técnica com municípios e órgãos públicos; Apoio à Presidência; Acompanhamento dos Indicadores Estratégicos revisados; Elaboração e consolidação das propostas de Programação e Reprogramação Orçamentária; Elaboração e consolidação dos Relatórios de Gestão; Atualização do fluxo de trabalho de processos operacioanis padrão (POP).</t>
    </r>
  </si>
  <si>
    <r>
      <t xml:space="preserve">Manutenção de </t>
    </r>
    <r>
      <rPr>
        <b/>
        <sz val="12"/>
        <rFont val="Calibri"/>
        <family val="2"/>
        <scheme val="minor"/>
      </rPr>
      <t>100% das despesas mensais com hospedagens de servidores, serviço de postagens institucionais, serviços de transporte urbanos (Táxi)</t>
    </r>
    <r>
      <rPr>
        <sz val="12"/>
        <rFont val="Calibri"/>
        <family val="2"/>
        <scheme val="minor"/>
      </rPr>
      <t xml:space="preserve"> </t>
    </r>
    <r>
      <rPr>
        <b/>
        <sz val="12"/>
        <rFont val="Calibri"/>
        <family val="2"/>
        <scheme val="minor"/>
      </rPr>
      <t xml:space="preserve">e remuneração de estagiários </t>
    </r>
    <r>
      <rPr>
        <sz val="12"/>
        <rFont val="Calibri"/>
        <family val="2"/>
        <scheme val="minor"/>
      </rPr>
      <t>para o cumprimento das atribuições da Gerência, tais como: Termos de cooperação técnica com municípios e órgãos públicos; Apoio à Presidência.</t>
    </r>
  </si>
  <si>
    <r>
      <rPr>
        <b/>
        <sz val="12"/>
        <rFont val="Calibri"/>
        <family val="2"/>
        <scheme val="minor"/>
      </rPr>
      <t>Monitorar (junto a uma assessoria parlamentar) a tramitação de projetos de lei</t>
    </r>
    <r>
      <rPr>
        <sz val="12"/>
        <rFont val="Calibri"/>
        <family val="2"/>
        <scheme val="minor"/>
      </rPr>
      <t xml:space="preserve"> com temas relacionados à Arquitetura e Urbanismo</t>
    </r>
  </si>
  <si>
    <t>Intensificar tratativas com os municípios, a fim de firmar novos Termos de Cooperação Técnica</t>
  </si>
  <si>
    <t>Ampliar parcerias com instituições públicas e privadas</t>
  </si>
  <si>
    <r>
      <t xml:space="preserve">Acompanhar junto à SecGeral e Gergel as </t>
    </r>
    <r>
      <rPr>
        <b/>
        <sz val="12"/>
        <rFont val="Calibri"/>
        <family val="2"/>
        <scheme val="minor"/>
      </rPr>
      <t>representações institucionais, encaminhando informações relevantes ao Conselho</t>
    </r>
  </si>
  <si>
    <t>Ampliar a vinculação do planejamento estratégico aos Objetivos de Desenvolvimento Sustentável da Agenda 2030</t>
  </si>
  <si>
    <r>
      <t xml:space="preserve">Manter rotina de </t>
    </r>
    <r>
      <rPr>
        <b/>
        <sz val="12"/>
        <rFont val="Calibri"/>
        <family val="2"/>
        <scheme val="minor"/>
      </rPr>
      <t>elaboração dos relatórios de gestão e prestação de contas, semestral e anualmente</t>
    </r>
    <r>
      <rPr>
        <sz val="12"/>
        <rFont val="Calibri"/>
        <family val="2"/>
        <scheme val="minor"/>
      </rPr>
      <t>, seguindo modelos e normativos do TCU, com foco para a sociedade em geral</t>
    </r>
  </si>
  <si>
    <r>
      <t xml:space="preserve">Acompanhar a </t>
    </r>
    <r>
      <rPr>
        <b/>
        <sz val="12"/>
        <rFont val="Calibri"/>
        <family val="2"/>
        <scheme val="minor"/>
      </rPr>
      <t>atualização do Portal da Transparência</t>
    </r>
    <r>
      <rPr>
        <sz val="12"/>
        <rFont val="Calibri"/>
        <family val="2"/>
        <scheme val="minor"/>
      </rPr>
      <t>, junto aos demais responsáveis designados pela Presidência</t>
    </r>
  </si>
  <si>
    <r>
      <rPr>
        <b/>
        <sz val="12"/>
        <rFont val="Calibri"/>
        <family val="2"/>
        <scheme val="minor"/>
      </rPr>
      <t>Oficinas virtuais</t>
    </r>
    <r>
      <rPr>
        <sz val="12"/>
        <rFont val="Calibri"/>
        <family val="2"/>
        <scheme val="minor"/>
      </rPr>
      <t xml:space="preserve"> de divulgação e instrução do Igeo CAU/BR</t>
    </r>
  </si>
  <si>
    <r>
      <t xml:space="preserve">Manutenção de </t>
    </r>
    <r>
      <rPr>
        <b/>
        <sz val="12"/>
        <rFont val="Calibri"/>
        <family val="2"/>
        <scheme val="minor"/>
      </rPr>
      <t>100% das despesas mensais com o pagamento de colaboradores e benefícios</t>
    </r>
    <r>
      <rPr>
        <sz val="12"/>
        <rFont val="Calibri"/>
        <family val="2"/>
        <scheme val="minor"/>
      </rPr>
      <t xml:space="preserve"> para o cumprimento das atividades de atendimento realizadas no escritório descentralizado.</t>
    </r>
  </si>
  <si>
    <r>
      <t xml:space="preserve">Manutenção de </t>
    </r>
    <r>
      <rPr>
        <b/>
        <sz val="12"/>
        <rFont val="Calibri"/>
        <family val="2"/>
        <scheme val="minor"/>
      </rPr>
      <t xml:space="preserve">100% das despesas mensais com os serviços de internet, informática, telecomunicações, limpeza e conservação, energia elétrica, medicina do trabalho, seguros diversos, despesas miúdas de pronto pagamento e demais serviços </t>
    </r>
    <r>
      <rPr>
        <sz val="12"/>
        <rFont val="Calibri"/>
        <family val="2"/>
        <scheme val="minor"/>
      </rPr>
      <t>necessários para o cumprimento das atividades de atendimento e fiscalização realizadas no escritório descentralizado.</t>
    </r>
  </si>
  <si>
    <r>
      <t xml:space="preserve">Manutenção de </t>
    </r>
    <r>
      <rPr>
        <b/>
        <sz val="12"/>
        <rFont val="Calibri"/>
        <family val="2"/>
        <scheme val="minor"/>
      </rPr>
      <t>100% das despesas mensais com o pagamento de Indenizações e restituições, Impostos e taxas e tarifas bancárias.</t>
    </r>
  </si>
  <si>
    <t>Manter e Desenvolver as Atividades do Escritório Descentralizado Zona da Mata e Vertentes</t>
  </si>
  <si>
    <r>
      <rPr>
        <b/>
        <sz val="12"/>
        <rFont val="Calibri"/>
        <family val="2"/>
        <scheme val="minor"/>
      </rPr>
      <t>Realizar o calendário de seis Reuniões Ordinárias composta por três conselheiros, incluindo o Presidente, e três representantes de entidades membro do Colegiado</t>
    </r>
    <r>
      <rPr>
        <sz val="12"/>
        <rFont val="Calibri"/>
        <family val="2"/>
        <scheme val="minor"/>
      </rPr>
      <t xml:space="preserve"> para o cumprimento de suas competências regimentais e o desenvolvimento de ações previstas no seu Plano de Trabalho e no Plano de Ação do CAU/MG. </t>
    </r>
  </si>
  <si>
    <r>
      <rPr>
        <b/>
        <sz val="12"/>
        <rFont val="Calibri"/>
        <family val="2"/>
        <scheme val="minor"/>
      </rPr>
      <t xml:space="preserve">Realizar o calendário de três Reuniões Extraordinárias </t>
    </r>
    <r>
      <rPr>
        <sz val="12"/>
        <rFont val="Calibri"/>
        <family val="2"/>
        <scheme val="minor"/>
      </rPr>
      <t xml:space="preserve">para a apreciação de demandas extraordinárias e planejamento de novas atividades. </t>
    </r>
  </si>
  <si>
    <r>
      <t xml:space="preserve">Custear uma </t>
    </r>
    <r>
      <rPr>
        <b/>
        <sz val="12"/>
        <rFont val="Calibri"/>
        <family val="2"/>
        <scheme val="minor"/>
      </rPr>
      <t>participação dos membros do Colegiado em reuniões e eventos de interesse ou previstos pelo próprio Colegiado</t>
    </r>
    <r>
      <rPr>
        <sz val="12"/>
        <rFont val="Calibri"/>
        <family val="2"/>
        <scheme val="minor"/>
      </rPr>
      <t>.</t>
    </r>
  </si>
  <si>
    <t>Divulgar as ações das entidades nos canais de Comunicação do CAU/MG.</t>
  </si>
  <si>
    <t>Evento Online "O Trabalho do Arquiteto e Urbanista e o papel das Entidades de Arquitetura e Urbanismo"</t>
  </si>
  <si>
    <r>
      <t xml:space="preserve">Ação que facilite o </t>
    </r>
    <r>
      <rPr>
        <b/>
        <sz val="12"/>
        <rFont val="Calibri"/>
        <family val="2"/>
        <scheme val="minor"/>
      </rPr>
      <t>acesso de Arquitetos e Urbanistas a  plataformas digitais, softwares e aplicativos</t>
    </r>
    <r>
      <rPr>
        <sz val="12"/>
        <rFont val="Calibri"/>
        <family val="2"/>
        <scheme val="minor"/>
      </rPr>
      <t>.</t>
    </r>
  </si>
  <si>
    <r>
      <rPr>
        <b/>
        <sz val="12"/>
        <rFont val="Calibri"/>
        <family val="2"/>
        <scheme val="minor"/>
      </rPr>
      <t>Campanha sobre os canais de atendimento do CAU/MG</t>
    </r>
    <r>
      <rPr>
        <sz val="12"/>
        <rFont val="Calibri"/>
        <family val="2"/>
        <scheme val="minor"/>
      </rPr>
      <t>, como plataforma intuitiva, amigável e que aproxime o profissional.</t>
    </r>
  </si>
  <si>
    <r>
      <rPr>
        <b/>
        <sz val="12"/>
        <rFont val="Calibri"/>
        <family val="2"/>
        <scheme val="minor"/>
      </rPr>
      <t>Evento Online com apoio dos CEAUs – CAU/Ufs: Resolução 64</t>
    </r>
    <r>
      <rPr>
        <sz val="12"/>
        <rFont val="Calibri"/>
        <family val="2"/>
        <scheme val="minor"/>
      </rPr>
      <t xml:space="preserve"> </t>
    </r>
  </si>
  <si>
    <t>Evento Online Arquitetura e a Cidade para Crianças</t>
  </si>
  <si>
    <r>
      <t xml:space="preserve">Ciclo para capacitação de escritórios - </t>
    </r>
    <r>
      <rPr>
        <b/>
        <sz val="12"/>
        <rFont val="Calibri"/>
        <family val="2"/>
        <scheme val="minor"/>
      </rPr>
      <t>Módulo I: Evento Online Como montar escritório de arquitetura</t>
    </r>
  </si>
  <si>
    <r>
      <t xml:space="preserve">Ciclo para capacitação de escritórios - </t>
    </r>
    <r>
      <rPr>
        <b/>
        <sz val="12"/>
        <rFont val="Calibri"/>
        <family val="2"/>
        <scheme val="minor"/>
      </rPr>
      <t>Módulo II: Evento Online O fazer arquitetônico em tempos de Pandemia</t>
    </r>
  </si>
  <si>
    <r>
      <t xml:space="preserve">Ciclo para capacitação de escritórios - </t>
    </r>
    <r>
      <rPr>
        <b/>
        <sz val="12"/>
        <rFont val="Calibri"/>
        <family val="2"/>
        <scheme val="minor"/>
      </rPr>
      <t>Módulo III: Evento Online Gerenciamento de Escritórios de Arquitetura e Urbanismo no Pós-Pandemia</t>
    </r>
  </si>
  <si>
    <r>
      <t xml:space="preserve">Ciclo para capacitação de escritórios - </t>
    </r>
    <r>
      <rPr>
        <b/>
        <sz val="12"/>
        <rFont val="Calibri"/>
        <family val="2"/>
        <scheme val="minor"/>
      </rPr>
      <t>Módulo IV: Evento Online O valor do trabalho (Tabela de Honorários, reserva técnica, etc)</t>
    </r>
  </si>
  <si>
    <r>
      <t xml:space="preserve">Incentivar a </t>
    </r>
    <r>
      <rPr>
        <b/>
        <sz val="12"/>
        <rFont val="Calibri"/>
        <family val="2"/>
        <scheme val="minor"/>
      </rPr>
      <t>criação de comissões de licenciamento</t>
    </r>
    <r>
      <rPr>
        <sz val="12"/>
        <rFont val="Calibri"/>
        <family val="2"/>
        <scheme val="minor"/>
      </rPr>
      <t xml:space="preserve"> junto aos municípios </t>
    </r>
  </si>
  <si>
    <t>Evento Online Arquitetura e Urbanismo e Engenharias Públicas</t>
  </si>
  <si>
    <t>Seminário CEAU-CAU/MG</t>
  </si>
  <si>
    <r>
      <t xml:space="preserve">Criação de um </t>
    </r>
    <r>
      <rPr>
        <b/>
        <sz val="12"/>
        <rFont val="Calibri"/>
        <family val="2"/>
        <scheme val="minor"/>
      </rPr>
      <t>canal para oferta e procura de vagas de trabalho e estágio</t>
    </r>
  </si>
  <si>
    <r>
      <t xml:space="preserve">Curso Online </t>
    </r>
    <r>
      <rPr>
        <b/>
        <sz val="12"/>
        <rFont val="Calibri"/>
        <family val="2"/>
        <scheme val="minor"/>
      </rPr>
      <t>Aprovação de projetos e licenciamento junto à PBH</t>
    </r>
  </si>
  <si>
    <r>
      <t xml:space="preserve">Ciclo para capacitação de escritórios - </t>
    </r>
    <r>
      <rPr>
        <b/>
        <sz val="12"/>
        <rFont val="Calibri"/>
        <family val="2"/>
        <scheme val="minor"/>
      </rPr>
      <t>Módulo V: Evento Online BIM discussão e acesso ao sistema</t>
    </r>
  </si>
  <si>
    <r>
      <t xml:space="preserve">Ciclo para capacitação de escritórios - </t>
    </r>
    <r>
      <rPr>
        <b/>
        <sz val="12"/>
        <rFont val="Calibri"/>
        <family val="2"/>
        <scheme val="minor"/>
      </rPr>
      <t>Módulo VI: Evento Online Plano Diretor como territorializá-los e fazer acontecer</t>
    </r>
  </si>
  <si>
    <r>
      <t xml:space="preserve">Ciclo para capacitação de escritórios - </t>
    </r>
    <r>
      <rPr>
        <b/>
        <sz val="12"/>
        <rFont val="Calibri"/>
        <family val="2"/>
        <scheme val="minor"/>
      </rPr>
      <t>Módulo VII: Evento Online junto ao Corpo de Bombeiros sobre as questões relacionadas à Arquitetura e Urbanismo</t>
    </r>
  </si>
  <si>
    <t>Campanha sobre Arquitetura e Urbanismo em jornal</t>
  </si>
  <si>
    <t>Evento Online sobre concursos de arquitetura e urbanismo</t>
  </si>
  <si>
    <t>Evento Online sobre Reforma administrativa e Arquitetura e Urbanismo como carreira de Estado</t>
  </si>
  <si>
    <t>Evento para discussão sobre Salário Mínimo Profissional para estatutários</t>
  </si>
  <si>
    <t>Evento Online Espaços Urbanos Residuais</t>
  </si>
  <si>
    <t>Evento Online Arquitetura e a Cidade para  Terceira idade</t>
  </si>
  <si>
    <t>Evento Online  Plano Diretor BH</t>
  </si>
  <si>
    <r>
      <t xml:space="preserve">Ações Institucionais - Fomento e Inovação: lançar </t>
    </r>
    <r>
      <rPr>
        <b/>
        <sz val="12"/>
        <rFont val="Calibri"/>
        <family val="2"/>
        <scheme val="minor"/>
      </rPr>
      <t>um Edital de Chamada Pública de Patrocínio na modalidade Assistência Técnica para Habitação de Interesse Social (Athis)</t>
    </r>
    <r>
      <rPr>
        <sz val="12"/>
        <rFont val="Calibri"/>
        <family val="2"/>
        <scheme val="minor"/>
      </rPr>
      <t>, a partir de diretrizes elaboradas pela Cathis-CAU/MG, destinado a prmover melhores condições de vida para as populações em situação de vulnerabilidade social, fundamentado na função social do Arquiteto(a) e Urbanista e no que se estabelece como Athis na Lei Federal n° 11.888, de 2008.</t>
    </r>
  </si>
  <si>
    <t>01 - Erradicação da pobreza</t>
  </si>
  <si>
    <t>AC</t>
  </si>
  <si>
    <t>02 - Fome zero e agricultura sustentável</t>
  </si>
  <si>
    <t>Atendimento Eletrônico</t>
  </si>
  <si>
    <t>AL</t>
  </si>
  <si>
    <t>03 - Saúde e bem-estar</t>
  </si>
  <si>
    <t>Auto-Atendimento</t>
  </si>
  <si>
    <t>PE</t>
  </si>
  <si>
    <t>AM</t>
  </si>
  <si>
    <t>Serviços de Terceiros- Diárias</t>
  </si>
  <si>
    <t>P.</t>
  </si>
  <si>
    <t>AP</t>
  </si>
  <si>
    <t>Serviços de Terceiros- Passagens</t>
  </si>
  <si>
    <t>A.</t>
  </si>
  <si>
    <t>BA</t>
  </si>
  <si>
    <t>06 - Água limpa e saneamento</t>
  </si>
  <si>
    <t>Serviços de Terceiros- Serviços Prestados</t>
  </si>
  <si>
    <t>Ações Nacionais em Mídia</t>
  </si>
  <si>
    <t>PE.</t>
  </si>
  <si>
    <t>CE</t>
  </si>
  <si>
    <t>07 - Energia limpa e acessível </t>
  </si>
  <si>
    <t>Serviços de Terceiros- Aluguéis e Encargos</t>
  </si>
  <si>
    <t>DF</t>
  </si>
  <si>
    <t>ES</t>
  </si>
  <si>
    <t>09 - Inovação infraestrutura</t>
  </si>
  <si>
    <t xml:space="preserve">Reserva de Contingência </t>
  </si>
  <si>
    <t>GO</t>
  </si>
  <si>
    <t>10 - Redução das desigualdades</t>
  </si>
  <si>
    <t>MA</t>
  </si>
  <si>
    <t>12 - Consumo e produção responsáveis</t>
  </si>
  <si>
    <t>MS</t>
  </si>
  <si>
    <t>13 - Ação contra a mudança global do clima</t>
  </si>
  <si>
    <t>MT</t>
  </si>
  <si>
    <t>14 - Vida na água</t>
  </si>
  <si>
    <t>PA</t>
  </si>
  <si>
    <t>15 - Vida terrestre</t>
  </si>
  <si>
    <t>PB</t>
  </si>
  <si>
    <t>PI</t>
  </si>
  <si>
    <t>PR</t>
  </si>
  <si>
    <t>Plataforma de Georreferenciamento</t>
  </si>
  <si>
    <t>RJ</t>
  </si>
  <si>
    <t>RN</t>
  </si>
  <si>
    <t>RO</t>
  </si>
  <si>
    <t>RR</t>
  </si>
  <si>
    <t>RS</t>
  </si>
  <si>
    <t>SC</t>
  </si>
  <si>
    <t>SE</t>
  </si>
  <si>
    <t>SP</t>
  </si>
  <si>
    <t>TO</t>
  </si>
  <si>
    <t>-</t>
  </si>
  <si>
    <t>gerplan2022</t>
  </si>
  <si>
    <t>UF</t>
  </si>
  <si>
    <t>Fundo de Apoio</t>
  </si>
  <si>
    <t>CSC</t>
  </si>
  <si>
    <t>SISCAF</t>
  </si>
  <si>
    <t>Ressarcimento</t>
  </si>
  <si>
    <t>Informações para os Indicadores</t>
  </si>
  <si>
    <t>PF</t>
  </si>
  <si>
    <t>PJ</t>
  </si>
  <si>
    <t>RRT</t>
  </si>
  <si>
    <t>Taxas</t>
  </si>
  <si>
    <t>Reprogramação 
2022</t>
  </si>
  <si>
    <t>Encontro de Contas</t>
  </si>
  <si>
    <t>Superávit financiero
apurado em 2020</t>
  </si>
  <si>
    <t>População estimada 2021</t>
  </si>
  <si>
    <t>Fontes de Receitas Correntes (80%)</t>
  </si>
  <si>
    <t>Demais valores a checar</t>
  </si>
  <si>
    <t>Exercício</t>
  </si>
  <si>
    <t>Exercícios Anteriores</t>
  </si>
  <si>
    <t>Reprogramação</t>
  </si>
  <si>
    <t>Aporte ao
Fundo de Apoio</t>
  </si>
  <si>
    <t>Utilização com Plenárias Ampliadas</t>
  </si>
  <si>
    <t>Repasse do Fundo de Apoio</t>
  </si>
  <si>
    <t>Fiscalização</t>
  </si>
  <si>
    <t>Atendimento</t>
  </si>
  <si>
    <t>Manutenção</t>
  </si>
  <si>
    <t>Taxas Bancárias
(Outras Receitas)</t>
  </si>
  <si>
    <t>Ativos</t>
  </si>
  <si>
    <t>Potencial Pagantes</t>
  </si>
  <si>
    <t>Inadimplência</t>
  </si>
  <si>
    <t>Quantitativo</t>
  </si>
  <si>
    <t>CSC - Fiscalização</t>
  </si>
  <si>
    <t>CSC - Atendimento</t>
  </si>
  <si>
    <t>CSC - SISCAF</t>
  </si>
  <si>
    <t>Fundo de Apoio - APORTE</t>
  </si>
  <si>
    <t>Fundo de Apoio - Plenárias Ampliadas</t>
  </si>
  <si>
    <t>Superávit Financeiro 2020</t>
  </si>
  <si>
    <t>1.1.3 Taxas e Multas</t>
  </si>
  <si>
    <t>Quantidades e Inadimplência</t>
  </si>
  <si>
    <t>PF - Ativos</t>
  </si>
  <si>
    <t>PF - Potencial Pagantes</t>
  </si>
  <si>
    <t>PF - Inadimplência</t>
  </si>
  <si>
    <t>PJ - Quantidade</t>
  </si>
  <si>
    <t>PJ - Inadimplência</t>
  </si>
  <si>
    <t>RRT - Quantidade</t>
  </si>
  <si>
    <t>Dados Geográficos</t>
  </si>
  <si>
    <t>População - 2021</t>
  </si>
  <si>
    <t>nº da coluna</t>
  </si>
  <si>
    <t>Perspectivas</t>
  </si>
  <si>
    <t>Projetos/Objetivos Estratégicos</t>
  </si>
  <si>
    <t>Projeto</t>
  </si>
  <si>
    <t>Projeto Específico</t>
  </si>
  <si>
    <t>Atividade</t>
  </si>
  <si>
    <t>Total Iniciativas</t>
  </si>
  <si>
    <t>Part. %</t>
  </si>
  <si>
    <t>Objetivos Locais</t>
  </si>
  <si>
    <t>Qde.</t>
  </si>
  <si>
    <t>selecione abaixo</t>
  </si>
  <si>
    <t>Sociedade</t>
  </si>
  <si>
    <t>Processos Internos</t>
  </si>
  <si>
    <t>Pessoas e Infraestrutura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</si>
</sst>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41" formatCode="_-* #,##0_-;\-* #,##0_-;_-* &quot;-&quot;_-;_-@_-"/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_(* #,##0.00_);_(* \(#,##0.00\);_(* &quot;-&quot;??_);_(@_)"/>
    <numFmt numFmtId="165" formatCode="0.0"/>
    <numFmt numFmtId="166" formatCode="0.0%"/>
    <numFmt numFmtId="167" formatCode="_-* #,##0_-;\-* #,##0_-;_-* &quot;-&quot;??_-;_-@_-"/>
    <numFmt numFmtId="168" formatCode="_(* #,##0_);_(* \(#,##0\);_(* &quot;-&quot;??_);_(@_)"/>
    <numFmt numFmtId="169" formatCode="_(* #,##0.0_);_(* \(#,##0.0\);_(* &quot;-&quot;??_);_(@_)"/>
    <numFmt numFmtId="170" formatCode="&quot;R$&quot;#,##0.00"/>
    <numFmt numFmtId="171" formatCode="_-&quot;R$&quot;\ * #,##0_-;\-&quot;R$&quot;\ * #,##0_-;_-&quot;R$&quot;\ * &quot;-&quot;??_-;_-@_-"/>
    <numFmt numFmtId="172" formatCode="#,##0.0_ ;\-#,##0.0\ "/>
    <numFmt numFmtId="173" formatCode="_-* #,##0.00_-;\-* #,##0.00_-;_-* &quot;-&quot;_-;_-@_-"/>
  </numFmts>
  <fonts count="50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20"/>
      <color theme="1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9"/>
      <color indexed="81"/>
      <name val="Segoe UI"/>
      <family val="2"/>
    </font>
    <font>
      <sz val="20"/>
      <name val="Calibri"/>
      <family val="2"/>
      <scheme val="minor"/>
    </font>
    <font>
      <sz val="11"/>
      <color theme="0"/>
      <name val="Calibri"/>
      <family val="2"/>
      <scheme val="minor"/>
    </font>
    <font>
      <sz val="18"/>
      <color theme="1"/>
      <name val="Calibri"/>
      <family val="2"/>
      <scheme val="minor"/>
    </font>
    <font>
      <sz val="11"/>
      <color rgb="FF000000"/>
      <name val="Calibri"/>
      <family val="2"/>
      <charset val="1"/>
    </font>
    <font>
      <sz val="11"/>
      <color rgb="FF000000"/>
      <name val="Calibri"/>
      <family val="2"/>
    </font>
    <font>
      <sz val="8"/>
      <name val="Calibri"/>
      <family val="2"/>
      <scheme val="minor"/>
    </font>
    <font>
      <sz val="20"/>
      <color theme="1"/>
      <name val="Arial Narrow"/>
      <family val="2"/>
    </font>
    <font>
      <b/>
      <sz val="11"/>
      <color theme="0"/>
      <name val="Calibri"/>
      <family val="2"/>
      <scheme val="minor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2"/>
      <color theme="1"/>
      <name val="Arial"/>
      <family val="2"/>
    </font>
    <font>
      <sz val="12"/>
      <color theme="0"/>
      <name val="Calibri"/>
      <family val="2"/>
      <scheme val="minor"/>
    </font>
    <font>
      <sz val="12"/>
      <color theme="1" tint="0.499984740745262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12"/>
      <color rgb="FF006871"/>
      <name val="Calibri"/>
      <family val="2"/>
      <scheme val="minor"/>
    </font>
    <font>
      <b/>
      <sz val="12"/>
      <color rgb="FF009999"/>
      <name val="Calibri"/>
      <family val="2"/>
      <scheme val="minor"/>
    </font>
    <font>
      <b/>
      <sz val="12"/>
      <color indexed="8"/>
      <name val="Calibri"/>
      <family val="2"/>
      <scheme val="minor"/>
    </font>
    <font>
      <b/>
      <sz val="12"/>
      <color indexed="10"/>
      <name val="Calibri"/>
      <family val="2"/>
      <scheme val="minor"/>
    </font>
    <font>
      <b/>
      <sz val="12"/>
      <color theme="4" tint="-0.249977111117893"/>
      <name val="Calibri"/>
      <family val="2"/>
      <scheme val="minor"/>
    </font>
    <font>
      <b/>
      <sz val="12"/>
      <color rgb="FF0070C0"/>
      <name val="Calibri"/>
      <family val="2"/>
      <scheme val="minor"/>
    </font>
    <font>
      <b/>
      <sz val="12"/>
      <color indexed="57"/>
      <name val="Calibri"/>
      <family val="2"/>
      <scheme val="minor"/>
    </font>
    <font>
      <b/>
      <sz val="12"/>
      <color indexed="21"/>
      <name val="Calibri"/>
      <family val="2"/>
      <scheme val="minor"/>
    </font>
    <font>
      <sz val="12"/>
      <color rgb="FF006100"/>
      <name val="Calibri"/>
      <family val="2"/>
      <scheme val="minor"/>
    </font>
    <font>
      <sz val="12"/>
      <color rgb="FF000000"/>
      <name val="Calibri"/>
      <family val="2"/>
      <scheme val="minor"/>
    </font>
    <font>
      <sz val="12"/>
      <color theme="1"/>
      <name val="Arial Narrow"/>
      <family val="2"/>
    </font>
    <font>
      <sz val="8"/>
      <color theme="1"/>
      <name val="Calibri"/>
      <family val="2"/>
      <scheme val="minor"/>
    </font>
    <font>
      <sz val="11"/>
      <name val="Calibri"/>
      <family val="2"/>
      <scheme val="minor"/>
    </font>
    <font>
      <sz val="18"/>
      <color theme="1"/>
      <name val="Arial"/>
      <family val="2"/>
    </font>
    <font>
      <b/>
      <i/>
      <sz val="12"/>
      <name val="Calibri"/>
      <family val="2"/>
      <scheme val="minor"/>
    </font>
    <font>
      <sz val="12"/>
      <color rgb="FFFF0000"/>
      <name val="Arial"/>
      <family val="2"/>
    </font>
    <font>
      <b/>
      <strike/>
      <sz val="12"/>
      <color theme="1"/>
      <name val="Calibri"/>
      <family val="2"/>
      <scheme val="minor"/>
    </font>
    <font>
      <b/>
      <sz val="12"/>
      <color theme="0" tint="-4.9989318521683403E-2"/>
      <name val="Calibri"/>
      <family val="2"/>
      <scheme val="minor"/>
    </font>
    <font>
      <sz val="12"/>
      <color rgb="FFFF0000"/>
      <name val="Calibri"/>
      <family val="2"/>
      <scheme val="minor"/>
    </font>
    <font>
      <sz val="12"/>
      <color theme="4" tint="-0.249977111117893"/>
      <name val="Calibri"/>
      <family val="2"/>
      <scheme val="minor"/>
    </font>
    <font>
      <b/>
      <u/>
      <sz val="12"/>
      <name val="Calibri"/>
      <family val="2"/>
      <scheme val="minor"/>
    </font>
    <font>
      <u/>
      <sz val="12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2"/>
      <color rgb="FFFFFFFF"/>
      <name val="Calibri"/>
      <family val="2"/>
      <scheme val="minor"/>
    </font>
  </fonts>
  <fills count="3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rgb="FFF2F2F2"/>
      </patternFill>
    </fill>
    <fill>
      <patternFill patternType="solid">
        <fgColor rgb="FFFFFADE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94BAC3"/>
        <bgColor indexed="64"/>
      </patternFill>
    </fill>
    <fill>
      <patternFill patternType="solid">
        <fgColor rgb="FF528693"/>
        <bgColor indexed="64"/>
      </patternFill>
    </fill>
    <fill>
      <patternFill patternType="solid">
        <fgColor rgb="FF2A5664"/>
        <bgColor indexed="64"/>
      </patternFill>
    </fill>
    <fill>
      <patternFill patternType="solid">
        <fgColor rgb="FF2A5664"/>
        <bgColor rgb="FF000000"/>
      </patternFill>
    </fill>
    <fill>
      <patternFill patternType="solid">
        <fgColor rgb="FFE4F0F0"/>
        <bgColor indexed="64"/>
      </patternFill>
    </fill>
    <fill>
      <patternFill patternType="solid">
        <fgColor rgb="FF2A5664"/>
        <bgColor rgb="FF47747D"/>
      </patternFill>
    </fill>
    <fill>
      <patternFill patternType="lightGray">
        <bgColor rgb="FF2A5664"/>
      </patternFill>
    </fill>
    <fill>
      <patternFill patternType="solid">
        <fgColor rgb="FF006666"/>
        <bgColor indexed="64"/>
      </patternFill>
    </fill>
    <fill>
      <patternFill patternType="darkGrid">
        <bgColor theme="0"/>
      </patternFill>
    </fill>
    <fill>
      <patternFill patternType="solid">
        <fgColor theme="9" tint="-0.249977111117893"/>
        <bgColor indexed="64"/>
      </patternFill>
    </fill>
    <fill>
      <patternFill patternType="darkTrellis">
        <bgColor theme="0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5" tint="0.79998168889431442"/>
        <bgColor indexed="64"/>
      </patternFill>
    </fill>
  </fills>
  <borders count="5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theme="1" tint="0.499984740745262"/>
      </right>
      <top style="thin">
        <color theme="1"/>
      </top>
      <bottom/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 style="thin">
        <color indexed="64"/>
      </right>
      <top style="thin">
        <color theme="1"/>
      </top>
      <bottom/>
      <diagonal/>
    </border>
    <border>
      <left style="thin">
        <color indexed="64"/>
      </left>
      <right style="thin">
        <color indexed="64"/>
      </right>
      <top style="thin">
        <color theme="1"/>
      </top>
      <bottom style="thin">
        <color theme="1"/>
      </bottom>
      <diagonal/>
    </border>
    <border>
      <left style="medium">
        <color indexed="64"/>
      </left>
      <right style="thin">
        <color theme="1" tint="0.499984740745262"/>
      </right>
      <top/>
      <bottom style="thin">
        <color theme="1"/>
      </bottom>
      <diagonal/>
    </border>
    <border>
      <left/>
      <right style="thin">
        <color indexed="64"/>
      </right>
      <top/>
      <bottom style="thin">
        <color theme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medium">
        <color theme="0"/>
      </left>
      <right/>
      <top/>
      <bottom style="medium">
        <color theme="0"/>
      </bottom>
      <diagonal/>
    </border>
    <border>
      <left style="medium">
        <color theme="0"/>
      </left>
      <right/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/>
      <top style="medium">
        <color theme="0"/>
      </top>
      <bottom style="medium">
        <color theme="0"/>
      </bottom>
      <diagonal/>
    </border>
    <border>
      <left style="medium">
        <color theme="0"/>
      </left>
      <right style="medium">
        <color theme="0"/>
      </right>
      <top/>
      <bottom style="medium">
        <color theme="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theme="0"/>
      </left>
      <right/>
      <top style="medium">
        <color theme="0"/>
      </top>
      <bottom/>
      <diagonal/>
    </border>
    <border>
      <left/>
      <right/>
      <top/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medium">
        <color theme="0"/>
      </top>
      <bottom/>
      <diagonal/>
    </border>
    <border>
      <left/>
      <right style="medium">
        <color theme="0"/>
      </right>
      <top style="medium">
        <color theme="0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">
    <xf numFmtId="0" fontId="0" fillId="0" borderId="0"/>
    <xf numFmtId="0" fontId="6" fillId="6" borderId="0" applyNumberFormat="0" applyBorder="0" applyAlignment="0" applyProtection="0"/>
    <xf numFmtId="0" fontId="7" fillId="7" borderId="0" applyNumberFormat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3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4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0" borderId="0"/>
    <xf numFmtId="0" fontId="1" fillId="0" borderId="0"/>
    <xf numFmtId="171" fontId="13" fillId="0" borderId="0" applyBorder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548">
    <xf numFmtId="0" fontId="0" fillId="0" borderId="0" xfId="0"/>
    <xf numFmtId="0" fontId="0" fillId="0" borderId="0" xfId="0" applyAlignment="1">
      <alignment wrapText="1"/>
    </xf>
    <xf numFmtId="0" fontId="0" fillId="2" borderId="0" xfId="0" applyFill="1"/>
    <xf numFmtId="0" fontId="4" fillId="0" borderId="0" xfId="0" applyFont="1"/>
    <xf numFmtId="0" fontId="19" fillId="2" borderId="0" xfId="0" applyFont="1" applyFill="1"/>
    <xf numFmtId="0" fontId="19" fillId="2" borderId="0" xfId="0" applyFont="1" applyFill="1" applyAlignment="1">
      <alignment vertical="center" wrapText="1"/>
    </xf>
    <xf numFmtId="0" fontId="19" fillId="2" borderId="0" xfId="0" applyFont="1" applyFill="1" applyAlignment="1">
      <alignment horizontal="left" vertical="center" wrapText="1"/>
    </xf>
    <xf numFmtId="0" fontId="19" fillId="2" borderId="0" xfId="0" applyFont="1" applyFill="1" applyAlignment="1">
      <alignment horizontal="left" vertical="center"/>
    </xf>
    <xf numFmtId="0" fontId="4" fillId="2" borderId="1" xfId="0" applyFont="1" applyFill="1" applyBorder="1" applyAlignment="1" applyProtection="1">
      <alignment vertical="center" wrapText="1"/>
      <protection locked="0"/>
    </xf>
    <xf numFmtId="164" fontId="4" fillId="2" borderId="1" xfId="4" applyFont="1" applyFill="1" applyBorder="1" applyAlignment="1" applyProtection="1">
      <alignment vertical="center" wrapText="1"/>
      <protection locked="0"/>
    </xf>
    <xf numFmtId="0" fontId="4" fillId="0" borderId="0" xfId="0" applyFont="1" applyAlignment="1">
      <alignment horizontal="center"/>
    </xf>
    <xf numFmtId="164" fontId="4" fillId="2" borderId="1" xfId="4" applyFont="1" applyFill="1" applyBorder="1" applyAlignment="1" applyProtection="1">
      <alignment vertical="center"/>
      <protection locked="0"/>
    </xf>
    <xf numFmtId="164" fontId="3" fillId="2" borderId="1" xfId="4" applyFont="1" applyFill="1" applyBorder="1" applyAlignment="1" applyProtection="1">
      <alignment vertical="center"/>
      <protection locked="0"/>
    </xf>
    <xf numFmtId="164" fontId="3" fillId="2" borderId="1" xfId="4" applyFont="1" applyFill="1" applyBorder="1" applyAlignment="1" applyProtection="1">
      <alignment vertical="center" wrapText="1"/>
      <protection locked="0"/>
    </xf>
    <xf numFmtId="164" fontId="3" fillId="3" borderId="1" xfId="4" applyFont="1" applyFill="1" applyBorder="1" applyAlignment="1" applyProtection="1">
      <alignment horizontal="left" vertical="center" wrapText="1"/>
    </xf>
    <xf numFmtId="169" fontId="3" fillId="3" borderId="1" xfId="4" applyNumberFormat="1" applyFont="1" applyFill="1" applyBorder="1" applyAlignment="1" applyProtection="1">
      <alignment horizontal="left" vertical="center" wrapText="1"/>
    </xf>
    <xf numFmtId="0" fontId="20" fillId="8" borderId="4" xfId="0" applyFont="1" applyFill="1" applyBorder="1" applyAlignment="1">
      <alignment horizontal="center"/>
    </xf>
    <xf numFmtId="0" fontId="20" fillId="0" borderId="15" xfId="0" applyFont="1" applyBorder="1" applyAlignment="1">
      <alignment horizontal="left" vertical="center" wrapText="1"/>
    </xf>
    <xf numFmtId="0" fontId="20" fillId="0" borderId="6" xfId="0" applyFont="1" applyBorder="1" applyAlignment="1">
      <alignment horizontal="left" vertical="center" wrapText="1"/>
    </xf>
    <xf numFmtId="0" fontId="20" fillId="0" borderId="15" xfId="0" applyFont="1" applyBorder="1" applyAlignment="1">
      <alignment horizontal="left" vertical="center"/>
    </xf>
    <xf numFmtId="168" fontId="0" fillId="0" borderId="0" xfId="4" applyNumberFormat="1" applyFont="1"/>
    <xf numFmtId="169" fontId="0" fillId="0" borderId="0" xfId="4" applyNumberFormat="1" applyFont="1"/>
    <xf numFmtId="164" fontId="0" fillId="0" borderId="0" xfId="4" applyFont="1" applyFill="1" applyBorder="1"/>
    <xf numFmtId="164" fontId="0" fillId="0" borderId="0" xfId="4" applyFont="1"/>
    <xf numFmtId="164" fontId="11" fillId="0" borderId="0" xfId="4" applyFont="1"/>
    <xf numFmtId="164" fontId="0" fillId="0" borderId="0" xfId="4" applyFont="1" applyAlignment="1">
      <alignment horizontal="center"/>
    </xf>
    <xf numFmtId="0" fontId="0" fillId="0" borderId="0" xfId="0" applyAlignment="1">
      <alignment horizontal="center"/>
    </xf>
    <xf numFmtId="166" fontId="0" fillId="0" borderId="0" xfId="3" applyNumberFormat="1" applyFont="1"/>
    <xf numFmtId="43" fontId="0" fillId="0" borderId="0" xfId="0" applyNumberFormat="1"/>
    <xf numFmtId="168" fontId="0" fillId="0" borderId="0" xfId="4" applyNumberFormat="1" applyFont="1" applyAlignment="1">
      <alignment horizontal="center"/>
    </xf>
    <xf numFmtId="169" fontId="0" fillId="0" borderId="0" xfId="4" applyNumberFormat="1" applyFont="1" applyAlignment="1">
      <alignment horizontal="center"/>
    </xf>
    <xf numFmtId="164" fontId="0" fillId="5" borderId="0" xfId="4" applyFont="1" applyFill="1"/>
    <xf numFmtId="0" fontId="17" fillId="20" borderId="36" xfId="0" applyFont="1" applyFill="1" applyBorder="1" applyAlignment="1">
      <alignment horizontal="center" vertical="center"/>
    </xf>
    <xf numFmtId="0" fontId="38" fillId="2" borderId="0" xfId="0" applyFont="1" applyFill="1"/>
    <xf numFmtId="164" fontId="4" fillId="0" borderId="0" xfId="4" applyFont="1" applyAlignment="1">
      <alignment horizontal="center"/>
    </xf>
    <xf numFmtId="168" fontId="4" fillId="2" borderId="1" xfId="4" applyNumberFormat="1" applyFont="1" applyFill="1" applyBorder="1" applyAlignment="1" applyProtection="1">
      <alignment horizontal="center" vertical="center" wrapText="1"/>
      <protection locked="0"/>
    </xf>
    <xf numFmtId="0" fontId="3" fillId="3" borderId="1" xfId="0" applyFont="1" applyFill="1" applyBorder="1" applyAlignment="1">
      <alignment horizontal="center" vertical="center" wrapText="1"/>
    </xf>
    <xf numFmtId="164" fontId="3" fillId="2" borderId="1" xfId="4" applyFont="1" applyFill="1" applyBorder="1" applyAlignment="1" applyProtection="1">
      <alignment horizontal="center" vertical="center" wrapText="1"/>
      <protection locked="0"/>
    </xf>
    <xf numFmtId="0" fontId="3" fillId="2" borderId="1" xfId="0" applyFont="1" applyFill="1" applyBorder="1" applyAlignment="1">
      <alignment horizontal="center" vertical="center" wrapText="1"/>
    </xf>
    <xf numFmtId="169" fontId="4" fillId="2" borderId="1" xfId="4" applyNumberFormat="1" applyFont="1" applyFill="1" applyBorder="1" applyAlignment="1" applyProtection="1">
      <alignment horizontal="center" vertical="center" wrapText="1"/>
      <protection locked="0"/>
    </xf>
    <xf numFmtId="164" fontId="3" fillId="21" borderId="1" xfId="4" applyFont="1" applyFill="1" applyBorder="1" applyAlignment="1" applyProtection="1">
      <alignment horizontal="center" vertical="center"/>
      <protection locked="0"/>
    </xf>
    <xf numFmtId="164" fontId="4" fillId="2" borderId="1" xfId="4" applyFont="1" applyFill="1" applyBorder="1" applyAlignment="1" applyProtection="1">
      <alignment horizontal="center" vertical="center" wrapText="1"/>
      <protection locked="0"/>
    </xf>
    <xf numFmtId="0" fontId="18" fillId="3" borderId="1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164" fontId="3" fillId="3" borderId="1" xfId="4" applyFont="1" applyFill="1" applyBorder="1" applyAlignment="1" applyProtection="1">
      <alignment horizontal="center" vertical="center" wrapText="1"/>
      <protection locked="0"/>
    </xf>
    <xf numFmtId="164" fontId="4" fillId="3" borderId="1" xfId="4" applyFont="1" applyFill="1" applyBorder="1" applyAlignment="1" applyProtection="1">
      <alignment horizontal="center" vertical="center" wrapText="1"/>
      <protection locked="0"/>
    </xf>
    <xf numFmtId="164" fontId="3" fillId="3" borderId="1" xfId="4" applyFont="1" applyFill="1" applyBorder="1" applyAlignment="1">
      <alignment horizontal="center" vertical="center" wrapText="1"/>
    </xf>
    <xf numFmtId="49" fontId="0" fillId="0" borderId="0" xfId="0" applyNumberFormat="1" applyAlignment="1">
      <alignment horizontal="center" vertical="center" wrapText="1"/>
    </xf>
    <xf numFmtId="164" fontId="3" fillId="3" borderId="3" xfId="4" applyFont="1" applyFill="1" applyBorder="1" applyAlignment="1">
      <alignment horizontal="center" vertical="center" wrapText="1"/>
    </xf>
    <xf numFmtId="168" fontId="17" fillId="20" borderId="38" xfId="4" applyNumberFormat="1" applyFont="1" applyFill="1" applyBorder="1" applyAlignment="1">
      <alignment horizontal="center" vertical="center" wrapText="1"/>
    </xf>
    <xf numFmtId="169" fontId="17" fillId="20" borderId="36" xfId="4" applyNumberFormat="1" applyFont="1" applyFill="1" applyBorder="1" applyAlignment="1">
      <alignment horizontal="center" vertical="center" wrapText="1"/>
    </xf>
    <xf numFmtId="168" fontId="17" fillId="20" borderId="36" xfId="4" applyNumberFormat="1" applyFont="1" applyFill="1" applyBorder="1" applyAlignment="1">
      <alignment horizontal="center" vertical="center" wrapText="1"/>
    </xf>
    <xf numFmtId="168" fontId="17" fillId="20" borderId="39" xfId="4" applyNumberFormat="1" applyFont="1" applyFill="1" applyBorder="1" applyAlignment="1">
      <alignment horizontal="center" vertical="center" wrapText="1"/>
    </xf>
    <xf numFmtId="49" fontId="0" fillId="0" borderId="0" xfId="4" applyNumberFormat="1" applyFont="1" applyFill="1" applyBorder="1" applyAlignment="1">
      <alignment horizontal="center" vertical="center" wrapText="1"/>
    </xf>
    <xf numFmtId="164" fontId="17" fillId="20" borderId="40" xfId="4" applyFont="1" applyFill="1" applyBorder="1" applyAlignment="1">
      <alignment horizontal="center" vertical="center" wrapText="1"/>
    </xf>
    <xf numFmtId="49" fontId="17" fillId="20" borderId="36" xfId="4" applyNumberFormat="1" applyFont="1" applyFill="1" applyBorder="1" applyAlignment="1">
      <alignment horizontal="center" vertical="center" wrapText="1"/>
    </xf>
    <xf numFmtId="49" fontId="0" fillId="0" borderId="0" xfId="4" applyNumberFormat="1" applyFont="1" applyAlignment="1">
      <alignment horizontal="center" vertical="center" wrapText="1"/>
    </xf>
    <xf numFmtId="49" fontId="11" fillId="0" borderId="0" xfId="4" applyNumberFormat="1" applyFont="1" applyAlignment="1">
      <alignment horizontal="center" vertical="center" wrapText="1"/>
    </xf>
    <xf numFmtId="49" fontId="0" fillId="0" borderId="0" xfId="0" applyNumberFormat="1"/>
    <xf numFmtId="164" fontId="21" fillId="22" borderId="42" xfId="4" applyFont="1" applyFill="1" applyBorder="1" applyAlignment="1">
      <alignment horizontal="center" vertical="center" wrapText="1"/>
    </xf>
    <xf numFmtId="0" fontId="21" fillId="20" borderId="10" xfId="0" applyFont="1" applyFill="1" applyBorder="1" applyAlignment="1">
      <alignment horizontal="center" vertical="center" wrapText="1"/>
    </xf>
    <xf numFmtId="168" fontId="17" fillId="20" borderId="38" xfId="4" applyNumberFormat="1" applyFont="1" applyFill="1" applyBorder="1" applyAlignment="1">
      <alignment horizontal="center" vertical="center"/>
    </xf>
    <xf numFmtId="49" fontId="0" fillId="0" borderId="0" xfId="4" applyNumberFormat="1" applyFont="1" applyFill="1" applyBorder="1"/>
    <xf numFmtId="49" fontId="0" fillId="0" borderId="0" xfId="4" applyNumberFormat="1" applyFont="1"/>
    <xf numFmtId="49" fontId="11" fillId="0" borderId="0" xfId="4" applyNumberFormat="1" applyFont="1"/>
    <xf numFmtId="164" fontId="38" fillId="0" borderId="0" xfId="4" applyFont="1"/>
    <xf numFmtId="164" fontId="11" fillId="0" borderId="0" xfId="4" applyFont="1" applyFill="1" applyBorder="1"/>
    <xf numFmtId="49" fontId="17" fillId="20" borderId="41" xfId="4" applyNumberFormat="1" applyFont="1" applyFill="1" applyBorder="1" applyAlignment="1">
      <alignment horizontal="center" vertical="center" wrapText="1"/>
    </xf>
    <xf numFmtId="0" fontId="39" fillId="0" borderId="0" xfId="13" applyFont="1"/>
    <xf numFmtId="166" fontId="12" fillId="0" borderId="0" xfId="3" applyNumberFormat="1" applyFont="1"/>
    <xf numFmtId="0" fontId="40" fillId="0" borderId="15" xfId="0" applyFont="1" applyBorder="1" applyAlignment="1">
      <alignment horizontal="left" vertical="center" wrapText="1"/>
    </xf>
    <xf numFmtId="0" fontId="19" fillId="0" borderId="1" xfId="13" applyFont="1" applyBorder="1" applyAlignment="1">
      <alignment vertical="center" wrapText="1" readingOrder="1"/>
    </xf>
    <xf numFmtId="41" fontId="3" fillId="2" borderId="1" xfId="13" applyNumberFormat="1" applyFont="1" applyFill="1" applyBorder="1" applyAlignment="1">
      <alignment horizontal="center" vertical="center" wrapText="1"/>
    </xf>
    <xf numFmtId="172" fontId="3" fillId="2" borderId="1" xfId="15" applyNumberFormat="1" applyFont="1" applyFill="1" applyBorder="1" applyAlignment="1">
      <alignment horizontal="right" vertical="center" wrapText="1"/>
    </xf>
    <xf numFmtId="0" fontId="22" fillId="0" borderId="0" xfId="13" applyFont="1" applyAlignment="1">
      <alignment horizontal="left"/>
    </xf>
    <xf numFmtId="0" fontId="22" fillId="0" borderId="0" xfId="13" applyFont="1"/>
    <xf numFmtId="165" fontId="41" fillId="0" borderId="0" xfId="13" applyNumberFormat="1" applyFont="1" applyAlignment="1">
      <alignment horizontal="center" vertical="center"/>
    </xf>
    <xf numFmtId="0" fontId="41" fillId="0" borderId="0" xfId="13" applyFont="1" applyAlignment="1">
      <alignment horizontal="center" vertical="center"/>
    </xf>
    <xf numFmtId="165" fontId="22" fillId="0" borderId="0" xfId="13" applyNumberFormat="1" applyFont="1"/>
    <xf numFmtId="41" fontId="22" fillId="0" borderId="0" xfId="13" applyNumberFormat="1" applyFont="1"/>
    <xf numFmtId="164" fontId="3" fillId="2" borderId="1" xfId="4" applyFont="1" applyFill="1" applyBorder="1" applyAlignment="1">
      <alignment horizontal="center" vertical="center" wrapText="1"/>
    </xf>
    <xf numFmtId="164" fontId="22" fillId="0" borderId="0" xfId="4" applyFont="1"/>
    <xf numFmtId="164" fontId="41" fillId="0" borderId="0" xfId="4" applyFont="1" applyAlignment="1">
      <alignment horizontal="center" vertical="center"/>
    </xf>
    <xf numFmtId="0" fontId="21" fillId="15" borderId="49" xfId="13" applyFont="1" applyFill="1" applyBorder="1" applyAlignment="1">
      <alignment horizontal="center" vertical="center" wrapText="1"/>
    </xf>
    <xf numFmtId="164" fontId="21" fillId="15" borderId="49" xfId="4" applyFont="1" applyFill="1" applyBorder="1" applyAlignment="1">
      <alignment horizontal="center" vertical="center" wrapText="1"/>
    </xf>
    <xf numFmtId="164" fontId="21" fillId="15" borderId="1" xfId="4" applyFont="1" applyFill="1" applyBorder="1" applyAlignment="1">
      <alignment horizontal="center"/>
    </xf>
    <xf numFmtId="41" fontId="21" fillId="15" borderId="1" xfId="13" applyNumberFormat="1" applyFont="1" applyFill="1" applyBorder="1" applyAlignment="1">
      <alignment horizontal="center"/>
    </xf>
    <xf numFmtId="164" fontId="19" fillId="0" borderId="0" xfId="4" applyFont="1"/>
    <xf numFmtId="0" fontId="2" fillId="2" borderId="0" xfId="0" applyFont="1" applyFill="1" applyAlignment="1">
      <alignment vertical="top" wrapText="1"/>
    </xf>
    <xf numFmtId="0" fontId="0" fillId="2" borderId="0" xfId="0" applyFill="1" applyAlignment="1">
      <alignment vertical="top" wrapText="1"/>
    </xf>
    <xf numFmtId="0" fontId="4" fillId="0" borderId="0" xfId="13" applyFont="1" applyAlignment="1">
      <alignment horizontal="left" vertical="center"/>
    </xf>
    <xf numFmtId="0" fontId="23" fillId="15" borderId="0" xfId="13" applyFont="1" applyFill="1" applyAlignment="1">
      <alignment horizontal="center" vertical="center"/>
    </xf>
    <xf numFmtId="164" fontId="4" fillId="23" borderId="1" xfId="4" applyFont="1" applyFill="1" applyBorder="1" applyAlignment="1" applyProtection="1">
      <alignment horizontal="center" vertical="center" wrapText="1"/>
      <protection locked="0"/>
    </xf>
    <xf numFmtId="0" fontId="42" fillId="3" borderId="1" xfId="0" applyFont="1" applyFill="1" applyBorder="1" applyAlignment="1">
      <alignment horizontal="center" vertical="center" wrapText="1"/>
    </xf>
    <xf numFmtId="0" fontId="3" fillId="24" borderId="1" xfId="0" applyFont="1" applyFill="1" applyBorder="1" applyAlignment="1">
      <alignment horizontal="center" vertical="center" wrapText="1"/>
    </xf>
    <xf numFmtId="0" fontId="18" fillId="24" borderId="1" xfId="0" applyFont="1" applyFill="1" applyBorder="1" applyAlignment="1">
      <alignment horizontal="center" vertical="center" wrapText="1"/>
    </xf>
    <xf numFmtId="164" fontId="37" fillId="2" borderId="0" xfId="4" applyFont="1" applyFill="1" applyAlignment="1">
      <alignment vertical="center" wrapText="1"/>
    </xf>
    <xf numFmtId="0" fontId="12" fillId="0" borderId="0" xfId="0" applyFont="1" applyProtection="1">
      <protection locked="0"/>
    </xf>
    <xf numFmtId="0" fontId="12" fillId="2" borderId="0" xfId="0" applyFont="1" applyFill="1" applyProtection="1">
      <protection locked="0"/>
    </xf>
    <xf numFmtId="0" fontId="4" fillId="2" borderId="0" xfId="0" applyFont="1" applyFill="1" applyProtection="1">
      <protection locked="0"/>
    </xf>
    <xf numFmtId="0" fontId="21" fillId="2" borderId="0" xfId="0" applyFont="1" applyFill="1" applyAlignment="1" applyProtection="1">
      <alignment horizontal="left" vertical="center"/>
      <protection locked="0"/>
    </xf>
    <xf numFmtId="0" fontId="4" fillId="2" borderId="0" xfId="0" applyFont="1" applyFill="1" applyAlignment="1" applyProtection="1">
      <alignment wrapText="1"/>
      <protection locked="0"/>
    </xf>
    <xf numFmtId="0" fontId="21" fillId="15" borderId="14" xfId="0" applyFont="1" applyFill="1" applyBorder="1" applyAlignment="1" applyProtection="1">
      <alignment horizontal="left" vertical="center" wrapText="1"/>
      <protection locked="0"/>
    </xf>
    <xf numFmtId="0" fontId="21" fillId="15" borderId="3" xfId="0" applyFont="1" applyFill="1" applyBorder="1" applyAlignment="1" applyProtection="1">
      <alignment horizontal="center" vertical="center" wrapText="1"/>
      <protection locked="0"/>
    </xf>
    <xf numFmtId="0" fontId="21" fillId="15" borderId="26" xfId="0" applyFont="1" applyFill="1" applyBorder="1" applyAlignment="1" applyProtection="1">
      <alignment horizontal="center" vertical="center" wrapText="1"/>
      <protection locked="0"/>
    </xf>
    <xf numFmtId="0" fontId="19" fillId="0" borderId="28" xfId="0" applyFont="1" applyBorder="1" applyAlignment="1" applyProtection="1">
      <alignment horizontal="center" wrapText="1"/>
      <protection locked="0"/>
    </xf>
    <xf numFmtId="0" fontId="19" fillId="0" borderId="28" xfId="0" applyFont="1" applyBorder="1" applyAlignment="1" applyProtection="1">
      <alignment horizontal="center" vertical="top" wrapText="1"/>
      <protection locked="0"/>
    </xf>
    <xf numFmtId="0" fontId="21" fillId="2" borderId="4" xfId="0" applyFont="1" applyFill="1" applyBorder="1" applyAlignment="1" applyProtection="1">
      <alignment horizontal="left" vertical="center"/>
      <protection locked="0"/>
    </xf>
    <xf numFmtId="1" fontId="19" fillId="2" borderId="1" xfId="3" applyNumberFormat="1" applyFont="1" applyFill="1" applyBorder="1" applyAlignment="1" applyProtection="1">
      <alignment horizontal="center" vertical="center"/>
      <protection locked="0"/>
    </xf>
    <xf numFmtId="1" fontId="19" fillId="2" borderId="1" xfId="3" applyNumberFormat="1" applyFont="1" applyFill="1" applyBorder="1" applyAlignment="1" applyProtection="1">
      <alignment horizontal="center" vertical="center" wrapText="1"/>
      <protection locked="0"/>
    </xf>
    <xf numFmtId="1" fontId="19" fillId="2" borderId="1" xfId="4" applyNumberFormat="1" applyFont="1" applyFill="1" applyBorder="1" applyAlignment="1" applyProtection="1">
      <alignment horizontal="center" vertical="center" wrapText="1"/>
      <protection locked="0"/>
    </xf>
    <xf numFmtId="1" fontId="4" fillId="0" borderId="1" xfId="4" applyNumberFormat="1" applyFont="1" applyBorder="1" applyAlignment="1" applyProtection="1">
      <alignment horizontal="center" vertical="center" wrapText="1"/>
      <protection locked="0"/>
    </xf>
    <xf numFmtId="0" fontId="19" fillId="9" borderId="1" xfId="5" applyFont="1" applyFill="1" applyBorder="1" applyAlignment="1" applyProtection="1">
      <alignment horizontal="center" wrapText="1"/>
      <protection locked="0"/>
    </xf>
    <xf numFmtId="0" fontId="19" fillId="9" borderId="1" xfId="5" applyFont="1" applyFill="1" applyBorder="1" applyAlignment="1" applyProtection="1">
      <alignment horizontal="center" vertical="top" wrapText="1"/>
      <protection locked="0"/>
    </xf>
    <xf numFmtId="0" fontId="19" fillId="2" borderId="1" xfId="5" applyFont="1" applyFill="1" applyBorder="1" applyAlignment="1" applyProtection="1">
      <alignment horizontal="center" wrapText="1"/>
      <protection locked="0"/>
    </xf>
    <xf numFmtId="0" fontId="19" fillId="2" borderId="1" xfId="5" applyFont="1" applyFill="1" applyBorder="1" applyAlignment="1" applyProtection="1">
      <alignment horizontal="center" vertical="top" wrapText="1"/>
      <protection locked="0"/>
    </xf>
    <xf numFmtId="3" fontId="19" fillId="2" borderId="1" xfId="4" applyNumberFormat="1" applyFont="1" applyFill="1" applyBorder="1" applyAlignment="1" applyProtection="1">
      <alignment horizontal="center" vertical="center" wrapText="1"/>
      <protection locked="0"/>
    </xf>
    <xf numFmtId="3" fontId="4" fillId="0" borderId="1" xfId="4" applyNumberFormat="1" applyFont="1" applyBorder="1" applyAlignment="1" applyProtection="1">
      <alignment horizontal="center" vertical="center" wrapText="1"/>
      <protection locked="0"/>
    </xf>
    <xf numFmtId="0" fontId="4" fillId="0" borderId="1" xfId="0" applyFont="1" applyBorder="1" applyAlignment="1" applyProtection="1">
      <alignment horizontal="center" vertical="top"/>
      <protection locked="0"/>
    </xf>
    <xf numFmtId="0" fontId="4" fillId="0" borderId="0" xfId="0" applyFont="1" applyAlignment="1" applyProtection="1">
      <alignment horizontal="left" vertical="center"/>
      <protection locked="0"/>
    </xf>
    <xf numFmtId="0" fontId="4" fillId="0" borderId="0" xfId="0" applyFont="1" applyAlignment="1" applyProtection="1">
      <alignment horizontal="center"/>
      <protection locked="0"/>
    </xf>
    <xf numFmtId="0" fontId="4" fillId="0" borderId="0" xfId="0" applyFont="1" applyProtection="1">
      <protection locked="0"/>
    </xf>
    <xf numFmtId="0" fontId="4" fillId="0" borderId="0" xfId="0" applyFont="1" applyAlignment="1" applyProtection="1">
      <alignment wrapText="1"/>
      <protection locked="0"/>
    </xf>
    <xf numFmtId="0" fontId="21" fillId="15" borderId="33" xfId="0" applyFont="1" applyFill="1" applyBorder="1" applyAlignment="1" applyProtection="1">
      <alignment horizontal="left" vertical="center" wrapText="1"/>
      <protection locked="0"/>
    </xf>
    <xf numFmtId="0" fontId="4" fillId="0" borderId="1" xfId="0" applyFont="1" applyBorder="1" applyAlignment="1" applyProtection="1">
      <alignment horizontal="left" vertical="center"/>
      <protection locked="0"/>
    </xf>
    <xf numFmtId="0" fontId="4" fillId="2" borderId="0" xfId="0" applyFont="1" applyFill="1"/>
    <xf numFmtId="0" fontId="18" fillId="2" borderId="0" xfId="0" applyFont="1" applyFill="1" applyAlignment="1">
      <alignment horizontal="center" vertical="center" wrapText="1"/>
    </xf>
    <xf numFmtId="1" fontId="19" fillId="2" borderId="0" xfId="3" applyNumberFormat="1" applyFont="1" applyFill="1" applyBorder="1" applyAlignment="1" applyProtection="1">
      <alignment horizontal="center" vertical="center" wrapText="1"/>
    </xf>
    <xf numFmtId="1" fontId="19" fillId="2" borderId="0" xfId="4" applyNumberFormat="1" applyFont="1" applyFill="1" applyBorder="1" applyAlignment="1" applyProtection="1">
      <alignment horizontal="center" vertical="center" wrapText="1"/>
    </xf>
    <xf numFmtId="3" fontId="19" fillId="2" borderId="0" xfId="4" applyNumberFormat="1" applyFont="1" applyFill="1" applyBorder="1" applyAlignment="1" applyProtection="1">
      <alignment horizontal="center" vertical="center" wrapText="1"/>
    </xf>
    <xf numFmtId="168" fontId="0" fillId="0" borderId="0" xfId="4" applyNumberFormat="1" applyFont="1" applyFill="1" applyBorder="1"/>
    <xf numFmtId="0" fontId="4" fillId="2" borderId="0" xfId="0" applyFont="1" applyFill="1" applyAlignment="1" applyProtection="1">
      <alignment horizontal="center"/>
      <protection locked="0"/>
    </xf>
    <xf numFmtId="164" fontId="4" fillId="3" borderId="1" xfId="4" applyFont="1" applyFill="1" applyBorder="1" applyAlignment="1" applyProtection="1">
      <alignment vertical="center" wrapText="1"/>
    </xf>
    <xf numFmtId="169" fontId="4" fillId="3" borderId="1" xfId="4" applyNumberFormat="1" applyFont="1" applyFill="1" applyBorder="1" applyAlignment="1" applyProtection="1">
      <alignment vertical="center" wrapText="1"/>
    </xf>
    <xf numFmtId="164" fontId="21" fillId="15" borderId="8" xfId="4" applyFont="1" applyFill="1" applyBorder="1" applyAlignment="1" applyProtection="1">
      <alignment vertical="center" wrapText="1"/>
    </xf>
    <xf numFmtId="169" fontId="21" fillId="15" borderId="8" xfId="4" applyNumberFormat="1" applyFont="1" applyFill="1" applyBorder="1" applyAlignment="1" applyProtection="1">
      <alignment vertical="center" wrapText="1"/>
    </xf>
    <xf numFmtId="164" fontId="3" fillId="3" borderId="1" xfId="4" applyFont="1" applyFill="1" applyBorder="1" applyAlignment="1" applyProtection="1">
      <alignment vertical="center" wrapText="1"/>
    </xf>
    <xf numFmtId="169" fontId="3" fillId="3" borderId="1" xfId="4" applyNumberFormat="1" applyFont="1" applyFill="1" applyBorder="1" applyAlignment="1" applyProtection="1">
      <alignment vertical="center" wrapText="1"/>
    </xf>
    <xf numFmtId="164" fontId="3" fillId="3" borderId="1" xfId="4" applyFont="1" applyFill="1" applyBorder="1" applyAlignment="1" applyProtection="1">
      <alignment vertical="center"/>
    </xf>
    <xf numFmtId="164" fontId="3" fillId="2" borderId="1" xfId="4" applyFont="1" applyFill="1" applyBorder="1" applyAlignment="1" applyProtection="1">
      <alignment vertical="center" wrapText="1"/>
    </xf>
    <xf numFmtId="164" fontId="3" fillId="5" borderId="1" xfId="4" applyFont="1" applyFill="1" applyBorder="1" applyAlignment="1" applyProtection="1">
      <alignment vertical="center" wrapText="1"/>
    </xf>
    <xf numFmtId="0" fontId="4" fillId="0" borderId="0" xfId="0" applyFont="1" applyAlignment="1" applyProtection="1">
      <alignment vertical="center"/>
      <protection locked="0"/>
    </xf>
    <xf numFmtId="0" fontId="5" fillId="0" borderId="0" xfId="0" applyFont="1" applyProtection="1">
      <protection locked="0"/>
    </xf>
    <xf numFmtId="0" fontId="3" fillId="2" borderId="0" xfId="0" applyFont="1" applyFill="1" applyAlignment="1" applyProtection="1">
      <alignment vertical="center" wrapText="1"/>
      <protection locked="0"/>
    </xf>
    <xf numFmtId="0" fontId="5" fillId="0" borderId="0" xfId="0" applyFont="1" applyAlignment="1" applyProtection="1">
      <alignment wrapText="1"/>
      <protection locked="0"/>
    </xf>
    <xf numFmtId="0" fontId="3" fillId="0" borderId="0" xfId="0" applyFont="1" applyAlignment="1" applyProtection="1">
      <alignment vertical="center"/>
      <protection locked="0"/>
    </xf>
    <xf numFmtId="0" fontId="3" fillId="0" borderId="12" xfId="0" applyFont="1" applyBorder="1" applyAlignment="1" applyProtection="1">
      <alignment horizontal="left" vertical="center" wrapText="1"/>
      <protection locked="0"/>
    </xf>
    <xf numFmtId="0" fontId="3" fillId="0" borderId="12" xfId="0" applyFont="1" applyBorder="1" applyAlignment="1" applyProtection="1">
      <alignment horizontal="center" vertical="center" wrapText="1"/>
      <protection locked="0"/>
    </xf>
    <xf numFmtId="0" fontId="3" fillId="0" borderId="0" xfId="0" applyFont="1" applyAlignment="1" applyProtection="1">
      <alignment horizontal="left" vertical="center" wrapText="1"/>
      <protection locked="0"/>
    </xf>
    <xf numFmtId="164" fontId="3" fillId="5" borderId="1" xfId="4" applyFont="1" applyFill="1" applyBorder="1" applyAlignment="1" applyProtection="1">
      <alignment vertical="center" wrapText="1"/>
      <protection locked="0"/>
    </xf>
    <xf numFmtId="0" fontId="19" fillId="0" borderId="0" xfId="0" applyFont="1" applyAlignment="1" applyProtection="1">
      <alignment horizontal="center" vertical="center"/>
      <protection locked="0"/>
    </xf>
    <xf numFmtId="0" fontId="19" fillId="0" borderId="0" xfId="0" applyFont="1" applyAlignment="1" applyProtection="1">
      <alignment horizontal="center" vertical="center" wrapText="1"/>
      <protection locked="0"/>
    </xf>
    <xf numFmtId="164" fontId="19" fillId="0" borderId="0" xfId="4" applyFont="1" applyAlignment="1" applyProtection="1">
      <alignment horizontal="center" vertical="center"/>
      <protection locked="0"/>
    </xf>
    <xf numFmtId="164" fontId="18" fillId="2" borderId="0" xfId="4" applyFont="1" applyFill="1" applyBorder="1" applyAlignment="1" applyProtection="1">
      <alignment horizontal="left" vertical="center" wrapText="1"/>
    </xf>
    <xf numFmtId="0" fontId="5" fillId="2" borderId="0" xfId="0" applyFont="1" applyFill="1" applyProtection="1">
      <protection locked="0"/>
    </xf>
    <xf numFmtId="41" fontId="3" fillId="2" borderId="0" xfId="0" applyNumberFormat="1" applyFont="1" applyFill="1" applyAlignment="1" applyProtection="1">
      <alignment horizontal="center" vertical="center" wrapText="1"/>
      <protection locked="0"/>
    </xf>
    <xf numFmtId="164" fontId="3" fillId="2" borderId="1" xfId="4" applyFont="1" applyFill="1" applyBorder="1" applyAlignment="1" applyProtection="1">
      <alignment horizontal="right" vertical="center" wrapText="1"/>
      <protection locked="0"/>
    </xf>
    <xf numFmtId="164" fontId="3" fillId="2" borderId="1" xfId="0" applyNumberFormat="1" applyFont="1" applyFill="1" applyBorder="1" applyAlignment="1" applyProtection="1">
      <alignment horizontal="right" vertical="center" wrapText="1"/>
      <protection locked="0"/>
    </xf>
    <xf numFmtId="167" fontId="3" fillId="2" borderId="0" xfId="4" applyNumberFormat="1" applyFont="1" applyFill="1" applyBorder="1" applyAlignment="1" applyProtection="1">
      <alignment horizontal="right" vertical="center" wrapText="1"/>
      <protection locked="0"/>
    </xf>
    <xf numFmtId="167" fontId="3" fillId="2" borderId="0" xfId="4" applyNumberFormat="1" applyFont="1" applyFill="1" applyBorder="1" applyAlignment="1" applyProtection="1">
      <alignment vertical="center" wrapText="1"/>
      <protection locked="0"/>
    </xf>
    <xf numFmtId="164" fontId="3" fillId="2" borderId="0" xfId="4" applyFont="1" applyFill="1" applyBorder="1" applyAlignment="1" applyProtection="1">
      <alignment horizontal="left" vertical="center" wrapText="1"/>
      <protection locked="0"/>
    </xf>
    <xf numFmtId="41" fontId="3" fillId="2" borderId="0" xfId="0" applyNumberFormat="1" applyFont="1" applyFill="1" applyAlignment="1" applyProtection="1">
      <alignment horizontal="left" vertical="center" wrapText="1"/>
      <protection locked="0"/>
    </xf>
    <xf numFmtId="0" fontId="3" fillId="2" borderId="0" xfId="0" applyFont="1" applyFill="1" applyAlignment="1" applyProtection="1">
      <alignment vertical="center" wrapText="1" readingOrder="1"/>
      <protection locked="0"/>
    </xf>
    <xf numFmtId="0" fontId="3" fillId="2" borderId="0" xfId="0" applyFont="1" applyFill="1" applyAlignment="1" applyProtection="1">
      <alignment horizontal="center" vertical="center" textRotation="90"/>
      <protection locked="0"/>
    </xf>
    <xf numFmtId="0" fontId="3" fillId="2" borderId="0" xfId="0" applyFont="1" applyFill="1" applyAlignment="1" applyProtection="1">
      <alignment horizontal="left" vertical="center" wrapText="1"/>
      <protection locked="0"/>
    </xf>
    <xf numFmtId="167" fontId="3" fillId="2" borderId="0" xfId="4" applyNumberFormat="1" applyFont="1" applyFill="1" applyBorder="1" applyAlignment="1" applyProtection="1">
      <alignment horizontal="left" vertical="center" wrapText="1"/>
      <protection locked="0"/>
    </xf>
    <xf numFmtId="0" fontId="3" fillId="2" borderId="0" xfId="0" applyFont="1" applyFill="1" applyAlignment="1" applyProtection="1">
      <alignment horizontal="center" vertical="center" wrapText="1" readingOrder="1"/>
      <protection locked="0"/>
    </xf>
    <xf numFmtId="0" fontId="5" fillId="2" borderId="0" xfId="0" applyFont="1" applyFill="1" applyAlignment="1" applyProtection="1">
      <alignment wrapText="1"/>
      <protection locked="0"/>
    </xf>
    <xf numFmtId="0" fontId="18" fillId="8" borderId="0" xfId="0" applyFont="1" applyFill="1" applyAlignment="1" applyProtection="1">
      <alignment vertical="center"/>
      <protection locked="0"/>
    </xf>
    <xf numFmtId="0" fontId="19" fillId="2" borderId="0" xfId="0" applyFont="1" applyFill="1" applyAlignment="1" applyProtection="1">
      <alignment vertical="center"/>
      <protection locked="0"/>
    </xf>
    <xf numFmtId="0" fontId="19" fillId="2" borderId="0" xfId="1" applyFont="1" applyFill="1" applyAlignment="1" applyProtection="1">
      <alignment vertical="center"/>
      <protection locked="0"/>
    </xf>
    <xf numFmtId="0" fontId="10" fillId="2" borderId="0" xfId="2" applyFont="1" applyFill="1" applyAlignment="1" applyProtection="1">
      <alignment vertical="center"/>
      <protection locked="0"/>
    </xf>
    <xf numFmtId="0" fontId="10" fillId="2" borderId="0" xfId="0" applyFont="1" applyFill="1" applyAlignment="1" applyProtection="1">
      <alignment vertical="center"/>
      <protection locked="0"/>
    </xf>
    <xf numFmtId="0" fontId="34" fillId="0" borderId="0" xfId="1" applyFont="1" applyFill="1" applyProtection="1">
      <protection locked="0"/>
    </xf>
    <xf numFmtId="164" fontId="35" fillId="2" borderId="0" xfId="0" applyNumberFormat="1" applyFont="1" applyFill="1" applyAlignment="1" applyProtection="1">
      <alignment horizontal="right" wrapText="1"/>
      <protection locked="0"/>
    </xf>
    <xf numFmtId="0" fontId="36" fillId="0" borderId="0" xfId="0" applyFont="1" applyAlignment="1" applyProtection="1">
      <alignment vertical="center"/>
      <protection locked="0"/>
    </xf>
    <xf numFmtId="0" fontId="34" fillId="0" borderId="0" xfId="1" applyFont="1" applyFill="1" applyAlignment="1" applyProtection="1">
      <alignment vertical="center"/>
      <protection locked="0"/>
    </xf>
    <xf numFmtId="0" fontId="16" fillId="0" borderId="0" xfId="0" applyFont="1" applyAlignment="1" applyProtection="1">
      <alignment vertical="center"/>
      <protection locked="0"/>
    </xf>
    <xf numFmtId="164" fontId="35" fillId="0" borderId="1" xfId="4" applyFont="1" applyFill="1" applyBorder="1" applyAlignment="1" applyProtection="1">
      <alignment horizontal="right" vertical="center" wrapText="1"/>
      <protection locked="0"/>
    </xf>
    <xf numFmtId="37" fontId="4" fillId="0" borderId="0" xfId="0" applyNumberFormat="1" applyFont="1" applyAlignment="1" applyProtection="1">
      <alignment horizontal="center"/>
      <protection locked="0"/>
    </xf>
    <xf numFmtId="41" fontId="35" fillId="0" borderId="1" xfId="4" applyNumberFormat="1" applyFont="1" applyFill="1" applyBorder="1" applyAlignment="1" applyProtection="1">
      <alignment horizontal="right" vertical="center" wrapText="1"/>
      <protection locked="0"/>
    </xf>
    <xf numFmtId="37" fontId="4" fillId="0" borderId="0" xfId="0" applyNumberFormat="1" applyFont="1" applyAlignment="1" applyProtection="1">
      <alignment horizontal="center" vertical="center"/>
      <protection locked="0"/>
    </xf>
    <xf numFmtId="0" fontId="8" fillId="0" borderId="0" xfId="0" applyFont="1" applyAlignment="1" applyProtection="1">
      <alignment vertical="center"/>
      <protection locked="0"/>
    </xf>
    <xf numFmtId="0" fontId="36" fillId="0" borderId="0" xfId="0" applyFont="1" applyProtection="1">
      <protection locked="0"/>
    </xf>
    <xf numFmtId="0" fontId="24" fillId="0" borderId="0" xfId="0" applyFont="1" applyProtection="1">
      <protection locked="0"/>
    </xf>
    <xf numFmtId="0" fontId="16" fillId="0" borderId="0" xfId="0" applyFont="1" applyProtection="1">
      <protection locked="0"/>
    </xf>
    <xf numFmtId="0" fontId="35" fillId="3" borderId="1" xfId="0" applyFont="1" applyFill="1" applyBorder="1" applyAlignment="1">
      <alignment horizontal="left" vertical="center" wrapText="1"/>
    </xf>
    <xf numFmtId="0" fontId="4" fillId="3" borderId="1" xfId="0" applyFont="1" applyFill="1" applyBorder="1" applyAlignment="1">
      <alignment horizontal="left" vertical="center" wrapText="1"/>
    </xf>
    <xf numFmtId="164" fontId="35" fillId="3" borderId="1" xfId="4" applyFont="1" applyFill="1" applyBorder="1" applyAlignment="1" applyProtection="1">
      <alignment horizontal="right" vertical="center" wrapText="1"/>
    </xf>
    <xf numFmtId="164" fontId="23" fillId="15" borderId="1" xfId="4" applyFont="1" applyFill="1" applyBorder="1" applyAlignment="1" applyProtection="1">
      <alignment horizontal="right" vertical="center" wrapText="1"/>
    </xf>
    <xf numFmtId="164" fontId="21" fillId="15" borderId="1" xfId="4" applyFont="1" applyFill="1" applyBorder="1" applyAlignment="1" applyProtection="1">
      <alignment horizontal="right" vertical="center" wrapText="1"/>
    </xf>
    <xf numFmtId="169" fontId="21" fillId="15" borderId="1" xfId="4" applyNumberFormat="1" applyFont="1" applyFill="1" applyBorder="1" applyAlignment="1" applyProtection="1">
      <alignment horizontal="right" vertical="center" wrapText="1"/>
    </xf>
    <xf numFmtId="164" fontId="35" fillId="4" borderId="1" xfId="4" applyFont="1" applyFill="1" applyBorder="1" applyAlignment="1" applyProtection="1">
      <alignment horizontal="right" vertical="center" wrapText="1"/>
    </xf>
    <xf numFmtId="169" fontId="35" fillId="4" borderId="1" xfId="4" applyNumberFormat="1" applyFont="1" applyFill="1" applyBorder="1" applyAlignment="1" applyProtection="1">
      <alignment horizontal="right" vertical="center" wrapText="1"/>
    </xf>
    <xf numFmtId="41" fontId="35" fillId="4" borderId="1" xfId="4" applyNumberFormat="1" applyFont="1" applyFill="1" applyBorder="1" applyAlignment="1" applyProtection="1">
      <alignment horizontal="right" vertical="center" wrapText="1"/>
    </xf>
    <xf numFmtId="0" fontId="4" fillId="0" borderId="0" xfId="0" applyFont="1" applyAlignment="1">
      <alignment vertical="center"/>
    </xf>
    <xf numFmtId="41" fontId="3" fillId="2" borderId="0" xfId="0" applyNumberFormat="1" applyFont="1" applyFill="1" applyAlignment="1">
      <alignment horizontal="center" vertical="center" wrapText="1"/>
    </xf>
    <xf numFmtId="164" fontId="21" fillId="15" borderId="1" xfId="4" applyFont="1" applyFill="1" applyBorder="1" applyAlignment="1" applyProtection="1">
      <alignment horizontal="left" vertical="center" wrapText="1"/>
    </xf>
    <xf numFmtId="169" fontId="21" fillId="15" borderId="1" xfId="4" applyNumberFormat="1" applyFont="1" applyFill="1" applyBorder="1" applyAlignment="1" applyProtection="1">
      <alignment horizontal="left" vertical="center" wrapText="1"/>
    </xf>
    <xf numFmtId="41" fontId="3" fillId="2" borderId="1" xfId="0" applyNumberFormat="1" applyFont="1" applyFill="1" applyBorder="1" applyAlignment="1">
      <alignment horizontal="center" vertical="center" wrapText="1"/>
    </xf>
    <xf numFmtId="41" fontId="3" fillId="17" borderId="1" xfId="0" applyNumberFormat="1" applyFont="1" applyFill="1" applyBorder="1" applyAlignment="1">
      <alignment horizontal="center" vertical="center" wrapText="1"/>
    </xf>
    <xf numFmtId="169" fontId="3" fillId="3" borderId="1" xfId="4" applyNumberFormat="1" applyFont="1" applyFill="1" applyBorder="1" applyAlignment="1" applyProtection="1">
      <alignment horizontal="right" vertical="center" wrapText="1"/>
    </xf>
    <xf numFmtId="166" fontId="3" fillId="3" borderId="1" xfId="4" applyNumberFormat="1" applyFont="1" applyFill="1" applyBorder="1" applyAlignment="1" applyProtection="1">
      <alignment horizontal="right" vertical="center" wrapText="1"/>
    </xf>
    <xf numFmtId="164" fontId="18" fillId="2" borderId="0" xfId="0" applyNumberFormat="1" applyFont="1" applyFill="1" applyAlignment="1">
      <alignment horizontal="right" vertical="center" wrapText="1"/>
    </xf>
    <xf numFmtId="166" fontId="18" fillId="2" borderId="0" xfId="4" applyNumberFormat="1" applyFont="1" applyFill="1" applyBorder="1" applyAlignment="1" applyProtection="1">
      <alignment horizontal="right" vertical="center" wrapText="1"/>
    </xf>
    <xf numFmtId="164" fontId="3" fillId="3" borderId="1" xfId="4" applyFont="1" applyFill="1" applyBorder="1" applyAlignment="1" applyProtection="1">
      <alignment horizontal="right" vertical="center" wrapText="1"/>
    </xf>
    <xf numFmtId="164" fontId="3" fillId="3" borderId="1" xfId="0" applyNumberFormat="1" applyFont="1" applyFill="1" applyBorder="1" applyAlignment="1">
      <alignment horizontal="right" vertical="center" wrapText="1"/>
    </xf>
    <xf numFmtId="166" fontId="3" fillId="3" borderId="1" xfId="3" applyNumberFormat="1" applyFont="1" applyFill="1" applyBorder="1" applyAlignment="1" applyProtection="1">
      <alignment horizontal="right" vertical="center" wrapText="1"/>
    </xf>
    <xf numFmtId="166" fontId="18" fillId="2" borderId="0" xfId="3" applyNumberFormat="1" applyFont="1" applyFill="1" applyBorder="1" applyAlignment="1" applyProtection="1">
      <alignment horizontal="right" vertical="center" wrapText="1"/>
    </xf>
    <xf numFmtId="41" fontId="18" fillId="19" borderId="1" xfId="0" applyNumberFormat="1" applyFont="1" applyFill="1" applyBorder="1" applyAlignment="1">
      <alignment vertical="center" wrapText="1"/>
    </xf>
    <xf numFmtId="164" fontId="18" fillId="19" borderId="1" xfId="4" applyFont="1" applyFill="1" applyBorder="1" applyAlignment="1" applyProtection="1">
      <alignment vertical="center" wrapText="1"/>
    </xf>
    <xf numFmtId="165" fontId="18" fillId="19" borderId="1" xfId="0" applyNumberFormat="1" applyFont="1" applyFill="1" applyBorder="1" applyAlignment="1">
      <alignment vertical="center" wrapText="1"/>
    </xf>
    <xf numFmtId="169" fontId="18" fillId="19" borderId="1" xfId="4" applyNumberFormat="1" applyFont="1" applyFill="1" applyBorder="1" applyAlignment="1" applyProtection="1">
      <alignment vertical="center" wrapText="1"/>
    </xf>
    <xf numFmtId="169" fontId="3" fillId="2" borderId="1" xfId="4" applyNumberFormat="1" applyFont="1" applyFill="1" applyBorder="1" applyAlignment="1" applyProtection="1">
      <alignment vertical="center" wrapText="1"/>
    </xf>
    <xf numFmtId="0" fontId="19" fillId="0" borderId="0" xfId="0" applyFont="1" applyAlignment="1">
      <alignment horizontal="center" vertical="center"/>
    </xf>
    <xf numFmtId="164" fontId="19" fillId="0" borderId="0" xfId="4" applyFont="1" applyAlignment="1" applyProtection="1">
      <alignment horizontal="center" vertical="center"/>
    </xf>
    <xf numFmtId="43" fontId="19" fillId="0" borderId="0" xfId="0" applyNumberFormat="1" applyFont="1" applyAlignment="1">
      <alignment horizontal="center" vertical="center"/>
    </xf>
    <xf numFmtId="0" fontId="3" fillId="2" borderId="1" xfId="0" applyFont="1" applyFill="1" applyBorder="1" applyAlignment="1">
      <alignment vertical="center" wrapText="1"/>
    </xf>
    <xf numFmtId="0" fontId="4" fillId="0" borderId="0" xfId="0" applyFont="1" applyAlignment="1" applyProtection="1">
      <alignment vertical="center" wrapText="1"/>
      <protection locked="0"/>
    </xf>
    <xf numFmtId="0" fontId="5" fillId="0" borderId="0" xfId="0" applyFont="1" applyAlignment="1" applyProtection="1">
      <alignment vertical="center" wrapText="1"/>
      <protection locked="0"/>
    </xf>
    <xf numFmtId="0" fontId="18" fillId="2" borderId="0" xfId="0" applyFont="1" applyFill="1" applyAlignment="1" applyProtection="1">
      <alignment horizontal="left" wrapText="1"/>
      <protection locked="0"/>
    </xf>
    <xf numFmtId="0" fontId="3" fillId="0" borderId="18" xfId="0" applyFont="1" applyBorder="1" applyAlignment="1">
      <alignment horizontal="center" vertical="center" wrapText="1"/>
    </xf>
    <xf numFmtId="0" fontId="18" fillId="2" borderId="0" xfId="0" applyFont="1" applyFill="1" applyAlignment="1" applyProtection="1">
      <alignment vertical="center" wrapText="1"/>
      <protection locked="0"/>
    </xf>
    <xf numFmtId="164" fontId="3" fillId="4" borderId="1" xfId="4" applyFont="1" applyFill="1" applyBorder="1" applyAlignment="1" applyProtection="1">
      <alignment horizontal="right" vertical="center" wrapText="1"/>
      <protection locked="0"/>
    </xf>
    <xf numFmtId="0" fontId="5" fillId="2" borderId="0" xfId="0" applyFont="1" applyFill="1" applyAlignment="1" applyProtection="1">
      <alignment vertical="center" wrapText="1"/>
      <protection locked="0"/>
    </xf>
    <xf numFmtId="0" fontId="4" fillId="2" borderId="0" xfId="0" applyFont="1" applyFill="1" applyAlignment="1" applyProtection="1">
      <alignment vertical="center" wrapText="1"/>
      <protection locked="0"/>
    </xf>
    <xf numFmtId="0" fontId="19" fillId="0" borderId="9" xfId="0" applyFont="1" applyBorder="1" applyAlignment="1" applyProtection="1">
      <alignment horizontal="left" vertical="center" wrapText="1"/>
      <protection locked="0"/>
    </xf>
    <xf numFmtId="0" fontId="19" fillId="0" borderId="1" xfId="0" applyFont="1" applyBorder="1" applyAlignment="1" applyProtection="1">
      <alignment horizontal="center" vertical="center" wrapText="1"/>
      <protection locked="0"/>
    </xf>
    <xf numFmtId="0" fontId="19" fillId="0" borderId="1" xfId="0" applyFont="1" applyBorder="1" applyAlignment="1" applyProtection="1">
      <alignment vertical="center" wrapText="1"/>
      <protection locked="0"/>
    </xf>
    <xf numFmtId="164" fontId="19" fillId="0" borderId="1" xfId="4" applyFont="1" applyFill="1" applyBorder="1" applyAlignment="1" applyProtection="1">
      <alignment vertical="center" wrapText="1"/>
      <protection locked="0"/>
    </xf>
    <xf numFmtId="0" fontId="4" fillId="0" borderId="0" xfId="0" applyFont="1" applyAlignment="1">
      <alignment wrapText="1"/>
    </xf>
    <xf numFmtId="0" fontId="5" fillId="0" borderId="0" xfId="0" applyFont="1" applyAlignment="1">
      <alignment wrapText="1"/>
    </xf>
    <xf numFmtId="0" fontId="43" fillId="2" borderId="7" xfId="0" applyFont="1" applyFill="1" applyBorder="1" applyAlignment="1" applyProtection="1">
      <alignment horizontal="left" vertical="center" wrapText="1"/>
      <protection locked="0"/>
    </xf>
    <xf numFmtId="0" fontId="3" fillId="2" borderId="7" xfId="0" applyFont="1" applyFill="1" applyBorder="1" applyAlignment="1">
      <alignment horizontal="left" vertical="center" wrapText="1"/>
    </xf>
    <xf numFmtId="0" fontId="43" fillId="15" borderId="1" xfId="0" applyFont="1" applyFill="1" applyBorder="1" applyAlignment="1">
      <alignment horizontal="center" vertical="center" wrapText="1"/>
    </xf>
    <xf numFmtId="0" fontId="18" fillId="8" borderId="1" xfId="0" applyFont="1" applyFill="1" applyBorder="1" applyAlignment="1">
      <alignment horizontal="center" vertical="center" wrapText="1"/>
    </xf>
    <xf numFmtId="0" fontId="4" fillId="0" borderId="1" xfId="0" applyFont="1" applyBorder="1" applyAlignment="1" applyProtection="1">
      <alignment horizontal="center" vertical="center" wrapText="1"/>
      <protection locked="0"/>
    </xf>
    <xf numFmtId="0" fontId="4" fillId="0" borderId="1" xfId="0" applyFont="1" applyBorder="1" applyAlignment="1" applyProtection="1">
      <alignment vertical="center" wrapText="1"/>
      <protection locked="0"/>
    </xf>
    <xf numFmtId="164" fontId="4" fillId="0" borderId="1" xfId="4" applyFont="1" applyFill="1" applyBorder="1" applyAlignment="1" applyProtection="1">
      <alignment vertical="center" wrapText="1"/>
      <protection locked="0"/>
    </xf>
    <xf numFmtId="164" fontId="44" fillId="0" borderId="1" xfId="4" applyFont="1" applyFill="1" applyBorder="1" applyAlignment="1" applyProtection="1">
      <alignment vertical="center" wrapText="1"/>
      <protection locked="0"/>
    </xf>
    <xf numFmtId="169" fontId="4" fillId="3" borderId="1" xfId="4" applyNumberFormat="1" applyFont="1" applyFill="1" applyBorder="1" applyAlignment="1">
      <alignment vertical="center" wrapText="1"/>
    </xf>
    <xf numFmtId="169" fontId="4" fillId="3" borderId="1" xfId="4" applyNumberFormat="1" applyFont="1" applyFill="1" applyBorder="1" applyAlignment="1" applyProtection="1">
      <alignment vertical="center" wrapText="1"/>
      <protection locked="0"/>
    </xf>
    <xf numFmtId="0" fontId="19" fillId="2" borderId="1" xfId="0" applyFont="1" applyFill="1" applyBorder="1" applyAlignment="1" applyProtection="1">
      <alignment vertical="center" wrapText="1"/>
      <protection locked="0"/>
    </xf>
    <xf numFmtId="0" fontId="18" fillId="2" borderId="1" xfId="0" applyFont="1" applyFill="1" applyBorder="1" applyAlignment="1" applyProtection="1">
      <alignment vertical="center" wrapText="1"/>
      <protection locked="0"/>
    </xf>
    <xf numFmtId="164" fontId="21" fillId="15" borderId="1" xfId="4" applyFont="1" applyFill="1" applyBorder="1" applyAlignment="1">
      <alignment horizontal="right" vertical="center" wrapText="1"/>
    </xf>
    <xf numFmtId="169" fontId="23" fillId="15" borderId="1" xfId="4" applyNumberFormat="1" applyFont="1" applyFill="1" applyBorder="1" applyAlignment="1">
      <alignment vertical="center" wrapText="1"/>
    </xf>
    <xf numFmtId="169" fontId="21" fillId="15" borderId="1" xfId="4" applyNumberFormat="1" applyFont="1" applyFill="1" applyBorder="1" applyAlignment="1">
      <alignment horizontal="right" vertical="center" wrapText="1"/>
    </xf>
    <xf numFmtId="3" fontId="4" fillId="0" borderId="1" xfId="0" applyNumberFormat="1" applyFont="1" applyBorder="1" applyAlignment="1" applyProtection="1">
      <alignment horizontal="center" vertical="center" wrapText="1"/>
      <protection locked="0"/>
    </xf>
    <xf numFmtId="9" fontId="4" fillId="0" borderId="1" xfId="0" applyNumberFormat="1" applyFont="1" applyBorder="1" applyAlignment="1" applyProtection="1">
      <alignment horizontal="center" vertical="center" wrapText="1"/>
      <protection locked="0"/>
    </xf>
    <xf numFmtId="0" fontId="4" fillId="5" borderId="10" xfId="0" applyFont="1" applyFill="1" applyBorder="1" applyAlignment="1" applyProtection="1">
      <alignment horizontal="left" wrapText="1"/>
      <protection locked="0"/>
    </xf>
    <xf numFmtId="0" fontId="4" fillId="5" borderId="7" xfId="0" applyFont="1" applyFill="1" applyBorder="1" applyAlignment="1" applyProtection="1">
      <alignment horizontal="left" wrapText="1"/>
      <protection locked="0"/>
    </xf>
    <xf numFmtId="0" fontId="4" fillId="5" borderId="2" xfId="0" applyFont="1" applyFill="1" applyBorder="1" applyAlignment="1" applyProtection="1">
      <alignment horizontal="left" wrapText="1"/>
      <protection locked="0"/>
    </xf>
    <xf numFmtId="9" fontId="4" fillId="0" borderId="1" xfId="3" applyFont="1" applyFill="1" applyBorder="1" applyAlignment="1" applyProtection="1">
      <alignment horizontal="center" vertical="center" wrapText="1"/>
      <protection locked="0"/>
    </xf>
    <xf numFmtId="0" fontId="45" fillId="2" borderId="1" xfId="0" applyFont="1" applyFill="1" applyBorder="1" applyAlignment="1" applyProtection="1">
      <alignment vertical="center" wrapText="1"/>
      <protection locked="0"/>
    </xf>
    <xf numFmtId="169" fontId="4" fillId="3" borderId="1" xfId="4" quotePrefix="1" applyNumberFormat="1" applyFont="1" applyFill="1" applyBorder="1" applyAlignment="1" applyProtection="1">
      <alignment vertical="center" wrapText="1"/>
      <protection locked="0"/>
    </xf>
    <xf numFmtId="1" fontId="4" fillId="0" borderId="1" xfId="3" applyNumberFormat="1" applyFont="1" applyFill="1" applyBorder="1" applyAlignment="1" applyProtection="1">
      <alignment horizontal="center" vertical="center" wrapText="1"/>
      <protection locked="0"/>
    </xf>
    <xf numFmtId="9" fontId="4" fillId="2" borderId="1" xfId="0" applyNumberFormat="1" applyFont="1" applyFill="1" applyBorder="1" applyAlignment="1" applyProtection="1">
      <alignment horizontal="center" vertical="center" wrapText="1"/>
      <protection locked="0"/>
    </xf>
    <xf numFmtId="1" fontId="4" fillId="0" borderId="1" xfId="0" applyNumberFormat="1" applyFont="1" applyBorder="1" applyAlignment="1" applyProtection="1">
      <alignment horizontal="center" vertical="center" wrapText="1"/>
      <protection locked="0"/>
    </xf>
    <xf numFmtId="164" fontId="24" fillId="0" borderId="7" xfId="0" applyNumberFormat="1" applyFont="1" applyBorder="1"/>
    <xf numFmtId="0" fontId="24" fillId="0" borderId="7" xfId="0" applyFont="1" applyBorder="1"/>
    <xf numFmtId="164" fontId="0" fillId="0" borderId="0" xfId="0" applyNumberFormat="1"/>
    <xf numFmtId="164" fontId="4" fillId="0" borderId="1" xfId="4" applyFont="1" applyFill="1" applyBorder="1" applyAlignment="1" applyProtection="1">
      <alignment vertical="center" wrapText="1"/>
    </xf>
    <xf numFmtId="164" fontId="2" fillId="0" borderId="0" xfId="4" applyFont="1"/>
    <xf numFmtId="164" fontId="19" fillId="2" borderId="1" xfId="4" applyFont="1" applyFill="1" applyBorder="1" applyAlignment="1" applyProtection="1">
      <alignment vertical="center" wrapText="1"/>
      <protection locked="0"/>
    </xf>
    <xf numFmtId="0" fontId="19" fillId="2" borderId="1" xfId="0" applyFont="1" applyFill="1" applyBorder="1" applyAlignment="1" applyProtection="1">
      <alignment horizontal="center" vertical="center" wrapText="1"/>
      <protection locked="0"/>
    </xf>
    <xf numFmtId="9" fontId="19" fillId="0" borderId="1" xfId="0" applyNumberFormat="1" applyFont="1" applyBorder="1" applyAlignment="1" applyProtection="1">
      <alignment horizontal="center" vertical="center" wrapText="1"/>
      <protection locked="0"/>
    </xf>
    <xf numFmtId="1" fontId="19" fillId="0" borderId="1" xfId="3" applyNumberFormat="1" applyFont="1" applyFill="1" applyBorder="1" applyAlignment="1" applyProtection="1">
      <alignment horizontal="center" vertical="center" wrapText="1"/>
      <protection locked="0"/>
    </xf>
    <xf numFmtId="1" fontId="19" fillId="0" borderId="1" xfId="0" applyNumberFormat="1" applyFont="1" applyBorder="1" applyAlignment="1" applyProtection="1">
      <alignment horizontal="center" vertical="center" wrapText="1"/>
      <protection locked="0"/>
    </xf>
    <xf numFmtId="9" fontId="19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19" fillId="0" borderId="0" xfId="0" applyFont="1" applyAlignment="1">
      <alignment wrapText="1"/>
    </xf>
    <xf numFmtId="166" fontId="19" fillId="2" borderId="1" xfId="0" applyNumberFormat="1" applyFont="1" applyFill="1" applyBorder="1" applyAlignment="1" applyProtection="1">
      <alignment horizontal="center" vertical="center" wrapText="1"/>
      <protection locked="0"/>
    </xf>
    <xf numFmtId="9" fontId="19" fillId="0" borderId="1" xfId="3" applyFont="1" applyFill="1" applyBorder="1" applyAlignment="1" applyProtection="1">
      <alignment horizontal="center" vertical="center" wrapText="1"/>
      <protection locked="0"/>
    </xf>
    <xf numFmtId="164" fontId="21" fillId="15" borderId="49" xfId="4" applyFont="1" applyFill="1" applyBorder="1" applyAlignment="1">
      <alignment horizontal="right" vertical="center" wrapText="1"/>
    </xf>
    <xf numFmtId="169" fontId="23" fillId="15" borderId="49" xfId="4" applyNumberFormat="1" applyFont="1" applyFill="1" applyBorder="1" applyAlignment="1">
      <alignment vertical="center" wrapText="1"/>
    </xf>
    <xf numFmtId="169" fontId="21" fillId="15" borderId="49" xfId="4" applyNumberFormat="1" applyFont="1" applyFill="1" applyBorder="1" applyAlignment="1">
      <alignment horizontal="right" vertical="center" wrapText="1"/>
    </xf>
    <xf numFmtId="164" fontId="5" fillId="0" borderId="0" xfId="4" applyFont="1" applyAlignment="1">
      <alignment wrapText="1"/>
    </xf>
    <xf numFmtId="0" fontId="19" fillId="8" borderId="0" xfId="0" applyFont="1" applyFill="1" applyAlignment="1">
      <alignment horizontal="left" wrapText="1"/>
    </xf>
    <xf numFmtId="0" fontId="4" fillId="2" borderId="0" xfId="0" applyFont="1" applyFill="1" applyAlignment="1">
      <alignment horizontal="center" vertical="center" wrapText="1"/>
    </xf>
    <xf numFmtId="0" fontId="18" fillId="0" borderId="0" xfId="0" applyFont="1" applyAlignment="1" applyProtection="1">
      <alignment horizontal="left" wrapText="1"/>
      <protection locked="0"/>
    </xf>
    <xf numFmtId="0" fontId="21" fillId="0" borderId="0" xfId="0" applyFont="1" applyAlignment="1">
      <alignment horizontal="center" vertical="center"/>
    </xf>
    <xf numFmtId="0" fontId="4" fillId="5" borderId="0" xfId="0" applyFont="1" applyFill="1" applyAlignment="1" applyProtection="1">
      <alignment horizontal="left" wrapText="1"/>
      <protection locked="0"/>
    </xf>
    <xf numFmtId="4" fontId="0" fillId="0" borderId="0" xfId="0" applyNumberFormat="1"/>
    <xf numFmtId="169" fontId="4" fillId="0" borderId="1" xfId="4" applyNumberFormat="1" applyFont="1" applyFill="1" applyBorder="1" applyAlignment="1" applyProtection="1">
      <alignment vertical="center" wrapText="1"/>
    </xf>
    <xf numFmtId="0" fontId="3" fillId="0" borderId="1" xfId="0" applyFont="1" applyBorder="1" applyAlignment="1">
      <alignment horizontal="center" vertical="center" wrapText="1"/>
    </xf>
    <xf numFmtId="0" fontId="4" fillId="0" borderId="1" xfId="0" applyFont="1" applyBorder="1" applyAlignment="1" applyProtection="1">
      <alignment wrapText="1"/>
      <protection locked="0"/>
    </xf>
    <xf numFmtId="3" fontId="19" fillId="27" borderId="0" xfId="4" applyNumberFormat="1" applyFont="1" applyFill="1" applyBorder="1" applyAlignment="1" applyProtection="1">
      <alignment horizontal="center" vertical="center" wrapText="1"/>
    </xf>
    <xf numFmtId="1" fontId="19" fillId="27" borderId="0" xfId="4" applyNumberFormat="1" applyFont="1" applyFill="1" applyBorder="1" applyAlignment="1" applyProtection="1">
      <alignment horizontal="center" vertical="center" wrapText="1"/>
    </xf>
    <xf numFmtId="0" fontId="48" fillId="28" borderId="0" xfId="0" applyFont="1" applyFill="1" applyAlignment="1" applyProtection="1">
      <alignment vertical="center" wrapText="1"/>
      <protection locked="0"/>
    </xf>
    <xf numFmtId="0" fontId="19" fillId="27" borderId="0" xfId="0" applyFont="1" applyFill="1" applyAlignment="1" applyProtection="1">
      <alignment horizontal="left" vertical="center"/>
      <protection locked="0"/>
    </xf>
    <xf numFmtId="0" fontId="4" fillId="27" borderId="0" xfId="0" applyFont="1" applyFill="1" applyAlignment="1" applyProtection="1">
      <alignment vertical="center" wrapText="1"/>
      <protection locked="0"/>
    </xf>
    <xf numFmtId="164" fontId="4" fillId="27" borderId="0" xfId="0" applyNumberFormat="1" applyFont="1" applyFill="1" applyAlignment="1" applyProtection="1">
      <alignment vertical="center" wrapText="1"/>
      <protection locked="0"/>
    </xf>
    <xf numFmtId="0" fontId="19" fillId="27" borderId="0" xfId="0" applyFont="1" applyFill="1" applyAlignment="1" applyProtection="1">
      <alignment horizontal="center" vertical="center"/>
      <protection locked="0"/>
    </xf>
    <xf numFmtId="41" fontId="4" fillId="2" borderId="0" xfId="0" applyNumberFormat="1" applyFont="1" applyFill="1" applyAlignment="1">
      <alignment horizontal="center" vertical="center" wrapText="1"/>
    </xf>
    <xf numFmtId="167" fontId="4" fillId="2" borderId="0" xfId="4" applyNumberFormat="1" applyFont="1" applyFill="1" applyBorder="1" applyAlignment="1" applyProtection="1">
      <alignment horizontal="left" vertical="center" wrapText="1"/>
      <protection locked="0"/>
    </xf>
    <xf numFmtId="167" fontId="4" fillId="2" borderId="0" xfId="4" applyNumberFormat="1" applyFont="1" applyFill="1" applyBorder="1" applyAlignment="1" applyProtection="1">
      <alignment vertical="center" wrapText="1"/>
      <protection locked="0"/>
    </xf>
    <xf numFmtId="0" fontId="4" fillId="2" borderId="0" xfId="0" applyFont="1" applyFill="1" applyAlignment="1" applyProtection="1">
      <alignment vertical="center" wrapText="1" readingOrder="1"/>
      <protection locked="0"/>
    </xf>
    <xf numFmtId="0" fontId="4" fillId="2" borderId="0" xfId="0" applyFont="1" applyFill="1" applyAlignment="1" applyProtection="1">
      <alignment horizontal="center" vertical="center" wrapText="1" readingOrder="1"/>
      <protection locked="0"/>
    </xf>
    <xf numFmtId="0" fontId="4" fillId="2" borderId="0" xfId="0" applyFont="1" applyFill="1" applyAlignment="1" applyProtection="1">
      <alignment horizontal="center" vertical="center" textRotation="90"/>
      <protection locked="0"/>
    </xf>
    <xf numFmtId="0" fontId="21" fillId="2" borderId="0" xfId="0" applyFont="1" applyFill="1" applyAlignment="1" applyProtection="1">
      <alignment vertical="center" wrapText="1"/>
      <protection locked="0"/>
    </xf>
    <xf numFmtId="0" fontId="4" fillId="8" borderId="0" xfId="0" applyFont="1" applyFill="1" applyAlignment="1" applyProtection="1">
      <alignment vertical="center" wrapText="1"/>
      <protection locked="0"/>
    </xf>
    <xf numFmtId="164" fontId="4" fillId="8" borderId="0" xfId="0" applyNumberFormat="1" applyFont="1" applyFill="1" applyAlignment="1" applyProtection="1">
      <alignment vertical="center" wrapText="1"/>
      <protection locked="0"/>
    </xf>
    <xf numFmtId="164" fontId="19" fillId="2" borderId="0" xfId="4" applyFont="1" applyFill="1" applyAlignment="1" applyProtection="1">
      <alignment horizontal="center" vertical="center"/>
      <protection locked="0"/>
    </xf>
    <xf numFmtId="0" fontId="44" fillId="0" borderId="0" xfId="0" applyFont="1" applyAlignment="1" applyProtection="1">
      <alignment vertical="center"/>
      <protection locked="0"/>
    </xf>
    <xf numFmtId="164" fontId="19" fillId="29" borderId="0" xfId="4" applyFont="1" applyFill="1" applyBorder="1" applyAlignment="1" applyProtection="1">
      <alignment horizontal="right" vertical="center" wrapText="1"/>
    </xf>
    <xf numFmtId="166" fontId="19" fillId="29" borderId="0" xfId="3" applyNumberFormat="1" applyFont="1" applyFill="1" applyBorder="1" applyAlignment="1" applyProtection="1">
      <alignment horizontal="right" vertical="center" wrapText="1"/>
    </xf>
    <xf numFmtId="166" fontId="3" fillId="30" borderId="1" xfId="3" applyNumberFormat="1" applyFont="1" applyFill="1" applyBorder="1" applyAlignment="1" applyProtection="1">
      <alignment horizontal="right" vertical="center" wrapText="1"/>
    </xf>
    <xf numFmtId="166" fontId="19" fillId="29" borderId="0" xfId="4" applyNumberFormat="1" applyFont="1" applyFill="1" applyBorder="1" applyAlignment="1" applyProtection="1">
      <alignment horizontal="right" vertical="center" wrapText="1"/>
    </xf>
    <xf numFmtId="164" fontId="18" fillId="29" borderId="0" xfId="4" applyFont="1" applyFill="1" applyBorder="1" applyAlignment="1" applyProtection="1">
      <alignment horizontal="left" vertical="center" wrapText="1"/>
    </xf>
    <xf numFmtId="164" fontId="18" fillId="29" borderId="0" xfId="0" applyNumberFormat="1" applyFont="1" applyFill="1" applyAlignment="1">
      <alignment horizontal="right" vertical="center" wrapText="1"/>
    </xf>
    <xf numFmtId="166" fontId="18" fillId="29" borderId="0" xfId="4" applyNumberFormat="1" applyFont="1" applyFill="1" applyBorder="1" applyAlignment="1" applyProtection="1">
      <alignment horizontal="right" vertical="center" wrapText="1"/>
    </xf>
    <xf numFmtId="164" fontId="4" fillId="0" borderId="0" xfId="4" applyFont="1" applyAlignment="1" applyProtection="1">
      <alignment wrapText="1"/>
      <protection locked="0"/>
    </xf>
    <xf numFmtId="164" fontId="4" fillId="0" borderId="0" xfId="4" applyFont="1" applyAlignment="1" applyProtection="1">
      <alignment vertical="center" wrapText="1"/>
      <protection locked="0"/>
    </xf>
    <xf numFmtId="164" fontId="4" fillId="2" borderId="0" xfId="4" applyFont="1" applyFill="1" applyAlignment="1" applyProtection="1">
      <alignment wrapText="1"/>
      <protection locked="0"/>
    </xf>
    <xf numFmtId="164" fontId="4" fillId="0" borderId="0" xfId="4" applyFont="1" applyFill="1" applyAlignment="1" applyProtection="1">
      <alignment vertical="center" wrapText="1"/>
      <protection locked="0"/>
    </xf>
    <xf numFmtId="164" fontId="4" fillId="29" borderId="0" xfId="4" applyFont="1" applyFill="1" applyAlignment="1" applyProtection="1">
      <alignment vertical="center" wrapText="1"/>
      <protection locked="0"/>
    </xf>
    <xf numFmtId="0" fontId="4" fillId="0" borderId="0" xfId="0" applyFont="1" applyAlignment="1" applyProtection="1">
      <alignment vertical="top" wrapText="1"/>
      <protection locked="0"/>
    </xf>
    <xf numFmtId="169" fontId="3" fillId="0" borderId="1" xfId="4" applyNumberFormat="1" applyFont="1" applyFill="1" applyBorder="1" applyAlignment="1" applyProtection="1">
      <alignment vertical="center" wrapText="1"/>
    </xf>
    <xf numFmtId="164" fontId="3" fillId="0" borderId="1" xfId="4" applyFont="1" applyFill="1" applyBorder="1" applyAlignment="1" applyProtection="1">
      <alignment vertical="center"/>
      <protection locked="0"/>
    </xf>
    <xf numFmtId="164" fontId="19" fillId="2" borderId="0" xfId="4" applyFont="1" applyFill="1" applyAlignment="1" applyProtection="1">
      <alignment horizontal="center" vertical="center"/>
    </xf>
    <xf numFmtId="0" fontId="19" fillId="2" borderId="0" xfId="0" applyFont="1" applyFill="1" applyAlignment="1">
      <alignment horizontal="center" vertical="center"/>
    </xf>
    <xf numFmtId="0" fontId="21" fillId="15" borderId="1" xfId="0" applyFont="1" applyFill="1" applyBorder="1" applyAlignment="1" applyProtection="1">
      <alignment horizontal="left" vertical="center" wrapText="1"/>
      <protection locked="0"/>
    </xf>
    <xf numFmtId="0" fontId="21" fillId="15" borderId="1" xfId="0" applyFont="1" applyFill="1" applyBorder="1" applyAlignment="1" applyProtection="1">
      <alignment horizontal="center" vertical="center" wrapText="1"/>
      <protection locked="0"/>
    </xf>
    <xf numFmtId="0" fontId="19" fillId="2" borderId="1" xfId="0" applyFont="1" applyFill="1" applyBorder="1" applyAlignment="1" applyProtection="1">
      <alignment horizontal="left" vertical="center" wrapText="1"/>
      <protection locked="0"/>
    </xf>
    <xf numFmtId="0" fontId="19" fillId="2" borderId="1" xfId="0" applyFont="1" applyFill="1" applyBorder="1" applyAlignment="1" applyProtection="1">
      <alignment horizontal="center" vertical="center"/>
      <protection locked="0"/>
    </xf>
    <xf numFmtId="0" fontId="21" fillId="15" borderId="17" xfId="0" applyFont="1" applyFill="1" applyBorder="1" applyAlignment="1" applyProtection="1">
      <alignment horizontal="center" vertical="center" wrapText="1"/>
      <protection locked="0"/>
    </xf>
    <xf numFmtId="0" fontId="19" fillId="0" borderId="1" xfId="0" applyFont="1" applyBorder="1" applyAlignment="1" applyProtection="1">
      <alignment horizontal="center" wrapText="1"/>
      <protection locked="0"/>
    </xf>
    <xf numFmtId="0" fontId="19" fillId="0" borderId="1" xfId="0" applyFont="1" applyBorder="1" applyAlignment="1" applyProtection="1">
      <alignment horizontal="center" vertical="top" wrapText="1"/>
      <protection locked="0"/>
    </xf>
    <xf numFmtId="0" fontId="19" fillId="2" borderId="1" xfId="0" applyFont="1" applyFill="1" applyBorder="1" applyAlignment="1" applyProtection="1">
      <alignment horizontal="center" wrapText="1"/>
      <protection locked="0"/>
    </xf>
    <xf numFmtId="0" fontId="19" fillId="2" borderId="1" xfId="0" applyFont="1" applyFill="1" applyBorder="1" applyAlignment="1" applyProtection="1">
      <alignment horizontal="center" vertical="top" wrapText="1"/>
      <protection locked="0"/>
    </xf>
    <xf numFmtId="0" fontId="21" fillId="15" borderId="1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 applyProtection="1">
      <alignment horizontal="left" vertical="center" wrapText="1"/>
      <protection locked="0"/>
    </xf>
    <xf numFmtId="165" fontId="21" fillId="15" borderId="1" xfId="0" applyNumberFormat="1" applyFont="1" applyFill="1" applyBorder="1" applyAlignment="1">
      <alignment horizontal="center" vertical="center" wrapText="1"/>
    </xf>
    <xf numFmtId="0" fontId="3" fillId="2" borderId="0" xfId="0" applyFont="1" applyFill="1" applyAlignment="1" applyProtection="1">
      <alignment horizontal="center" vertical="center" wrapText="1"/>
      <protection locked="0"/>
    </xf>
    <xf numFmtId="41" fontId="21" fillId="15" borderId="1" xfId="0" applyNumberFormat="1" applyFont="1" applyFill="1" applyBorder="1" applyAlignment="1">
      <alignment horizontal="center" vertical="center" wrapText="1"/>
    </xf>
    <xf numFmtId="0" fontId="4" fillId="8" borderId="0" xfId="0" applyFont="1" applyFill="1" applyAlignment="1" applyProtection="1">
      <alignment horizontal="center" vertical="center" wrapText="1"/>
      <protection locked="0"/>
    </xf>
    <xf numFmtId="0" fontId="3" fillId="2" borderId="0" xfId="0" applyFont="1" applyFill="1" applyAlignment="1" applyProtection="1">
      <alignment horizontal="left" vertical="center"/>
      <protection locked="0"/>
    </xf>
    <xf numFmtId="41" fontId="21" fillId="2" borderId="0" xfId="0" applyNumberFormat="1" applyFont="1" applyFill="1" applyAlignment="1">
      <alignment horizontal="center" vertical="center" wrapText="1"/>
    </xf>
    <xf numFmtId="169" fontId="3" fillId="2" borderId="0" xfId="4" applyNumberFormat="1" applyFont="1" applyFill="1" applyBorder="1" applyAlignment="1" applyProtection="1">
      <alignment horizontal="left" vertical="center" wrapText="1"/>
    </xf>
    <xf numFmtId="169" fontId="3" fillId="2" borderId="0" xfId="4" applyNumberFormat="1" applyFont="1" applyFill="1" applyBorder="1" applyAlignment="1" applyProtection="1">
      <alignment horizontal="right" vertical="center" wrapText="1"/>
    </xf>
    <xf numFmtId="0" fontId="4" fillId="2" borderId="0" xfId="0" applyFont="1" applyFill="1" applyAlignment="1" applyProtection="1">
      <alignment horizontal="left" vertical="center" wrapText="1"/>
      <protection locked="0"/>
    </xf>
    <xf numFmtId="0" fontId="49" fillId="16" borderId="1" xfId="0" applyFont="1" applyFill="1" applyBorder="1" applyAlignment="1">
      <alignment vertical="center" wrapText="1"/>
    </xf>
    <xf numFmtId="0" fontId="49" fillId="16" borderId="1" xfId="0" applyFont="1" applyFill="1" applyBorder="1" applyAlignment="1">
      <alignment horizontal="center" vertical="center" wrapText="1"/>
    </xf>
    <xf numFmtId="0" fontId="49" fillId="16" borderId="1" xfId="0" applyFont="1" applyFill="1" applyBorder="1" applyAlignment="1">
      <alignment vertical="center"/>
    </xf>
    <xf numFmtId="164" fontId="49" fillId="16" borderId="1" xfId="4" applyFont="1" applyFill="1" applyBorder="1" applyAlignment="1" applyProtection="1">
      <alignment vertical="center"/>
    </xf>
    <xf numFmtId="169" fontId="49" fillId="16" borderId="1" xfId="4" applyNumberFormat="1" applyFont="1" applyFill="1" applyBorder="1" applyAlignment="1" applyProtection="1">
      <alignment vertical="center"/>
    </xf>
    <xf numFmtId="164" fontId="18" fillId="0" borderId="1" xfId="4" applyFont="1" applyFill="1" applyBorder="1" applyAlignment="1" applyProtection="1">
      <alignment horizontal="right" vertical="center" wrapText="1"/>
    </xf>
    <xf numFmtId="0" fontId="49" fillId="16" borderId="1" xfId="0" applyFont="1" applyFill="1" applyBorder="1" applyAlignment="1">
      <alignment horizontal="left" vertical="center" wrapText="1"/>
    </xf>
    <xf numFmtId="164" fontId="49" fillId="16" borderId="1" xfId="4" applyFont="1" applyFill="1" applyBorder="1" applyAlignment="1" applyProtection="1">
      <alignment horizontal="center" vertical="center" wrapText="1"/>
    </xf>
    <xf numFmtId="0" fontId="49" fillId="18" borderId="1" xfId="0" applyFont="1" applyFill="1" applyBorder="1" applyAlignment="1">
      <alignment horizontal="center" vertical="center" wrapText="1"/>
    </xf>
    <xf numFmtId="164" fontId="18" fillId="0" borderId="1" xfId="4" applyFont="1" applyBorder="1" applyAlignment="1" applyProtection="1">
      <alignment horizontal="right" vertical="center" wrapText="1"/>
    </xf>
    <xf numFmtId="166" fontId="18" fillId="0" borderId="1" xfId="3" applyNumberFormat="1" applyFont="1" applyBorder="1" applyAlignment="1" applyProtection="1">
      <alignment horizontal="right" vertical="center" wrapText="1"/>
    </xf>
    <xf numFmtId="0" fontId="49" fillId="18" borderId="1" xfId="0" applyFont="1" applyFill="1" applyBorder="1" applyAlignment="1" applyProtection="1">
      <alignment horizontal="center" vertical="center" wrapText="1"/>
      <protection locked="0"/>
    </xf>
    <xf numFmtId="164" fontId="18" fillId="0" borderId="1" xfId="4" applyFont="1" applyBorder="1" applyAlignment="1" applyProtection="1">
      <alignment horizontal="right" vertical="center" wrapText="1"/>
      <protection locked="0"/>
    </xf>
    <xf numFmtId="0" fontId="21" fillId="15" borderId="4" xfId="0" applyFont="1" applyFill="1" applyBorder="1" applyAlignment="1">
      <alignment vertical="center"/>
    </xf>
    <xf numFmtId="0" fontId="21" fillId="15" borderId="0" xfId="0" applyFont="1" applyFill="1" applyAlignment="1">
      <alignment vertical="center"/>
    </xf>
    <xf numFmtId="173" fontId="35" fillId="0" borderId="1" xfId="4" applyNumberFormat="1" applyFont="1" applyFill="1" applyBorder="1" applyAlignment="1" applyProtection="1">
      <alignment horizontal="right" vertical="center" wrapText="1"/>
      <protection locked="0"/>
    </xf>
    <xf numFmtId="0" fontId="21" fillId="15" borderId="4" xfId="0" applyFont="1" applyFill="1" applyBorder="1" applyAlignment="1">
      <alignment horizontal="center" vertical="center"/>
    </xf>
    <xf numFmtId="0" fontId="21" fillId="15" borderId="0" xfId="0" applyFont="1" applyFill="1" applyAlignment="1">
      <alignment horizontal="center" vertical="center"/>
    </xf>
    <xf numFmtId="0" fontId="19" fillId="8" borderId="0" xfId="0" applyFont="1" applyFill="1" applyAlignment="1">
      <alignment horizontal="left" wrapText="1"/>
    </xf>
    <xf numFmtId="0" fontId="4" fillId="2" borderId="4" xfId="0" applyFont="1" applyFill="1" applyBorder="1" applyAlignment="1">
      <alignment horizontal="center" vertical="center" wrapText="1"/>
    </xf>
    <xf numFmtId="0" fontId="4" fillId="2" borderId="0" xfId="0" applyFont="1" applyFill="1" applyAlignment="1">
      <alignment horizontal="center" vertical="center" wrapText="1"/>
    </xf>
    <xf numFmtId="0" fontId="3" fillId="8" borderId="50" xfId="0" applyFont="1" applyFill="1" applyBorder="1" applyAlignment="1" applyProtection="1">
      <alignment horizontal="center" vertical="center" wrapText="1"/>
      <protection locked="0"/>
    </xf>
    <xf numFmtId="2" fontId="19" fillId="27" borderId="0" xfId="3" applyNumberFormat="1" applyFont="1" applyFill="1" applyBorder="1" applyAlignment="1" applyProtection="1">
      <alignment horizontal="center" vertical="center" wrapText="1"/>
    </xf>
    <xf numFmtId="165" fontId="19" fillId="27" borderId="0" xfId="3" applyNumberFormat="1" applyFont="1" applyFill="1" applyBorder="1" applyAlignment="1" applyProtection="1">
      <alignment horizontal="center" vertical="center" wrapText="1"/>
    </xf>
    <xf numFmtId="166" fontId="19" fillId="27" borderId="0" xfId="3" applyNumberFormat="1" applyFont="1" applyFill="1" applyBorder="1" applyAlignment="1" applyProtection="1">
      <alignment horizontal="center" vertical="center" wrapText="1"/>
    </xf>
    <xf numFmtId="170" fontId="19" fillId="2" borderId="0" xfId="3" applyNumberFormat="1" applyFont="1" applyFill="1" applyBorder="1" applyAlignment="1" applyProtection="1">
      <alignment horizontal="center" vertical="center" wrapText="1"/>
    </xf>
    <xf numFmtId="166" fontId="19" fillId="2" borderId="0" xfId="3" applyNumberFormat="1" applyFont="1" applyFill="1" applyBorder="1" applyAlignment="1" applyProtection="1">
      <alignment horizontal="center" vertical="center" wrapText="1"/>
    </xf>
    <xf numFmtId="2" fontId="19" fillId="2" borderId="0" xfId="3" applyNumberFormat="1" applyFont="1" applyFill="1" applyBorder="1" applyAlignment="1" applyProtection="1">
      <alignment horizontal="center" vertical="center" wrapText="1"/>
    </xf>
    <xf numFmtId="170" fontId="19" fillId="27" borderId="0" xfId="3" applyNumberFormat="1" applyFont="1" applyFill="1" applyBorder="1" applyAlignment="1" applyProtection="1">
      <alignment horizontal="center" vertical="center" wrapText="1"/>
    </xf>
    <xf numFmtId="0" fontId="21" fillId="15" borderId="1" xfId="0" applyFont="1" applyFill="1" applyBorder="1" applyAlignment="1" applyProtection="1">
      <alignment horizontal="left" vertical="center" wrapText="1"/>
      <protection locked="0"/>
    </xf>
    <xf numFmtId="0" fontId="19" fillId="0" borderId="1" xfId="0" applyFont="1" applyBorder="1" applyAlignment="1" applyProtection="1">
      <alignment horizontal="left" vertical="center" wrapText="1"/>
      <protection locked="0"/>
    </xf>
    <xf numFmtId="0" fontId="19" fillId="0" borderId="1" xfId="0" applyFont="1" applyBorder="1" applyAlignment="1" applyProtection="1">
      <alignment horizontal="center" vertical="center" wrapText="1"/>
      <protection locked="0"/>
    </xf>
    <xf numFmtId="166" fontId="4" fillId="2" borderId="1" xfId="3" applyNumberFormat="1" applyFont="1" applyFill="1" applyBorder="1" applyAlignment="1" applyProtection="1">
      <alignment horizontal="center" vertical="center" wrapText="1"/>
      <protection locked="0"/>
    </xf>
    <xf numFmtId="166" fontId="19" fillId="0" borderId="1" xfId="3" applyNumberFormat="1" applyFont="1" applyBorder="1" applyAlignment="1" applyProtection="1">
      <alignment horizontal="center" vertical="center" wrapText="1"/>
      <protection locked="0"/>
    </xf>
    <xf numFmtId="0" fontId="21" fillId="15" borderId="1" xfId="0" applyFont="1" applyFill="1" applyBorder="1" applyAlignment="1" applyProtection="1">
      <alignment horizontal="center" vertical="center" wrapText="1"/>
      <protection locked="0"/>
    </xf>
    <xf numFmtId="0" fontId="19" fillId="2" borderId="1" xfId="0" applyFont="1" applyFill="1" applyBorder="1" applyAlignment="1" applyProtection="1">
      <alignment horizontal="left" vertical="center" wrapText="1"/>
      <protection locked="0"/>
    </xf>
    <xf numFmtId="0" fontId="19" fillId="2" borderId="1" xfId="0" applyFont="1" applyFill="1" applyBorder="1" applyAlignment="1" applyProtection="1">
      <alignment horizontal="center" vertical="center"/>
      <protection locked="0"/>
    </xf>
    <xf numFmtId="0" fontId="19" fillId="2" borderId="1" xfId="0" applyFont="1" applyFill="1" applyBorder="1" applyAlignment="1" applyProtection="1">
      <alignment horizontal="center" wrapText="1"/>
      <protection locked="0"/>
    </xf>
    <xf numFmtId="170" fontId="4" fillId="2" borderId="1" xfId="3" applyNumberFormat="1" applyFont="1" applyFill="1" applyBorder="1" applyAlignment="1" applyProtection="1">
      <alignment horizontal="center" vertical="center" wrapText="1"/>
      <protection locked="0"/>
    </xf>
    <xf numFmtId="0" fontId="19" fillId="2" borderId="1" xfId="0" applyFont="1" applyFill="1" applyBorder="1" applyAlignment="1" applyProtection="1">
      <alignment horizontal="center" vertical="top" wrapText="1"/>
      <protection locked="0"/>
    </xf>
    <xf numFmtId="0" fontId="19" fillId="2" borderId="1" xfId="0" applyFont="1" applyFill="1" applyBorder="1" applyAlignment="1" applyProtection="1">
      <alignment horizontal="center" vertical="center" wrapText="1"/>
      <protection locked="0"/>
    </xf>
    <xf numFmtId="0" fontId="4" fillId="8" borderId="1" xfId="0" applyFont="1" applyFill="1" applyBorder="1" applyAlignment="1" applyProtection="1">
      <alignment horizontal="left" vertical="center" wrapText="1"/>
      <protection locked="0"/>
    </xf>
    <xf numFmtId="0" fontId="4" fillId="8" borderId="1" xfId="0" applyFont="1" applyFill="1" applyBorder="1" applyAlignment="1" applyProtection="1">
      <alignment horizontal="left" vertical="center"/>
      <protection locked="0"/>
    </xf>
    <xf numFmtId="0" fontId="21" fillId="15" borderId="23" xfId="0" applyFont="1" applyFill="1" applyBorder="1" applyAlignment="1" applyProtection="1">
      <alignment horizontal="left" vertical="center" wrapText="1"/>
      <protection locked="0"/>
    </xf>
    <xf numFmtId="0" fontId="21" fillId="15" borderId="24" xfId="0" applyFont="1" applyFill="1" applyBorder="1" applyAlignment="1" applyProtection="1">
      <alignment horizontal="left" vertical="center" wrapText="1"/>
      <protection locked="0"/>
    </xf>
    <xf numFmtId="0" fontId="21" fillId="15" borderId="34" xfId="0" applyFont="1" applyFill="1" applyBorder="1" applyAlignment="1" applyProtection="1">
      <alignment horizontal="left" vertical="center" wrapText="1"/>
      <protection locked="0"/>
    </xf>
    <xf numFmtId="0" fontId="21" fillId="15" borderId="25" xfId="0" applyFont="1" applyFill="1" applyBorder="1" applyAlignment="1" applyProtection="1">
      <alignment horizontal="left" vertical="center" wrapText="1"/>
      <protection locked="0"/>
    </xf>
    <xf numFmtId="0" fontId="21" fillId="15" borderId="17" xfId="0" applyFont="1" applyFill="1" applyBorder="1" applyAlignment="1" applyProtection="1">
      <alignment horizontal="center" vertical="center" wrapText="1"/>
      <protection locked="0"/>
    </xf>
    <xf numFmtId="0" fontId="21" fillId="15" borderId="19" xfId="0" applyFont="1" applyFill="1" applyBorder="1" applyAlignment="1" applyProtection="1">
      <alignment horizontal="center" vertical="center" wrapText="1"/>
      <protection locked="0"/>
    </xf>
    <xf numFmtId="0" fontId="19" fillId="0" borderId="27" xfId="0" applyFont="1" applyBorder="1" applyAlignment="1" applyProtection="1">
      <alignment horizontal="left" vertical="center" wrapText="1"/>
      <protection locked="0"/>
    </xf>
    <xf numFmtId="0" fontId="19" fillId="0" borderId="31" xfId="0" applyFont="1" applyBorder="1" applyAlignment="1" applyProtection="1">
      <alignment horizontal="left" vertical="center" wrapText="1"/>
      <protection locked="0"/>
    </xf>
    <xf numFmtId="0" fontId="19" fillId="0" borderId="29" xfId="0" applyFont="1" applyBorder="1" applyAlignment="1" applyProtection="1">
      <alignment horizontal="center" vertical="center" wrapText="1"/>
      <protection locked="0"/>
    </xf>
    <xf numFmtId="0" fontId="19" fillId="0" borderId="32" xfId="0" applyFont="1" applyBorder="1" applyAlignment="1" applyProtection="1">
      <alignment horizontal="center" vertical="center" wrapText="1"/>
      <protection locked="0"/>
    </xf>
    <xf numFmtId="0" fontId="19" fillId="0" borderId="30" xfId="0" applyFont="1" applyBorder="1" applyAlignment="1" applyProtection="1">
      <alignment horizontal="center" vertical="center" wrapText="1"/>
      <protection locked="0"/>
    </xf>
    <xf numFmtId="0" fontId="19" fillId="0" borderId="1" xfId="0" applyFont="1" applyBorder="1" applyAlignment="1" applyProtection="1">
      <alignment horizontal="center" wrapText="1"/>
      <protection locked="0"/>
    </xf>
    <xf numFmtId="2" fontId="4" fillId="0" borderId="1" xfId="3" applyNumberFormat="1" applyFont="1" applyFill="1" applyBorder="1" applyAlignment="1" applyProtection="1">
      <alignment horizontal="center" vertical="center" wrapText="1"/>
      <protection locked="0"/>
    </xf>
    <xf numFmtId="0" fontId="19" fillId="0" borderId="1" xfId="0" applyFont="1" applyBorder="1" applyAlignment="1" applyProtection="1">
      <alignment horizontal="center" vertical="top" wrapText="1"/>
      <protection locked="0"/>
    </xf>
    <xf numFmtId="2" fontId="19" fillId="0" borderId="1" xfId="3" applyNumberFormat="1" applyFont="1" applyBorder="1" applyAlignment="1" applyProtection="1">
      <alignment horizontal="center" vertical="center" wrapText="1"/>
      <protection locked="0"/>
    </xf>
    <xf numFmtId="166" fontId="4" fillId="0" borderId="1" xfId="3" applyNumberFormat="1" applyFont="1" applyFill="1" applyBorder="1" applyAlignment="1" applyProtection="1">
      <alignment horizontal="center" vertical="center" wrapText="1"/>
      <protection locked="0"/>
    </xf>
    <xf numFmtId="170" fontId="19" fillId="0" borderId="1" xfId="3" applyNumberFormat="1" applyFont="1" applyBorder="1" applyAlignment="1" applyProtection="1">
      <alignment horizontal="center" vertical="center" wrapText="1"/>
      <protection locked="0"/>
    </xf>
    <xf numFmtId="0" fontId="4" fillId="2" borderId="1" xfId="0" applyFont="1" applyFill="1" applyBorder="1" applyAlignment="1" applyProtection="1">
      <alignment horizontal="center" vertical="center" wrapText="1"/>
      <protection locked="0"/>
    </xf>
    <xf numFmtId="0" fontId="19" fillId="9" borderId="1" xfId="5" applyFont="1" applyFill="1" applyBorder="1" applyAlignment="1" applyProtection="1">
      <alignment horizontal="left" vertical="center" wrapText="1"/>
      <protection locked="0"/>
    </xf>
    <xf numFmtId="0" fontId="19" fillId="2" borderId="1" xfId="5" applyFont="1" applyFill="1" applyBorder="1" applyAlignment="1" applyProtection="1">
      <alignment horizontal="left" vertical="center" wrapText="1"/>
      <protection locked="0"/>
    </xf>
    <xf numFmtId="2" fontId="4" fillId="2" borderId="1" xfId="3" applyNumberFormat="1" applyFont="1" applyFill="1" applyBorder="1" applyAlignment="1" applyProtection="1">
      <alignment horizontal="center" vertical="center" wrapText="1"/>
      <protection locked="0"/>
    </xf>
    <xf numFmtId="0" fontId="18" fillId="8" borderId="4" xfId="0" applyFont="1" applyFill="1" applyBorder="1" applyAlignment="1" applyProtection="1">
      <alignment horizontal="left" vertical="center" wrapText="1"/>
      <protection locked="0"/>
    </xf>
    <xf numFmtId="0" fontId="18" fillId="8" borderId="0" xfId="0" applyFont="1" applyFill="1" applyAlignment="1" applyProtection="1">
      <alignment horizontal="left" vertical="center" wrapText="1"/>
      <protection locked="0"/>
    </xf>
    <xf numFmtId="0" fontId="21" fillId="15" borderId="1" xfId="0" applyFont="1" applyFill="1" applyBorder="1" applyAlignment="1" applyProtection="1">
      <alignment horizontal="left" vertical="center"/>
      <protection locked="0"/>
    </xf>
    <xf numFmtId="0" fontId="18" fillId="8" borderId="18" xfId="0" applyFont="1" applyFill="1" applyBorder="1" applyAlignment="1" applyProtection="1">
      <alignment horizontal="left" vertical="center" wrapText="1"/>
      <protection locked="0"/>
    </xf>
    <xf numFmtId="0" fontId="21" fillId="15" borderId="49" xfId="0" applyFont="1" applyFill="1" applyBorder="1" applyAlignment="1">
      <alignment horizontal="center" vertical="center" wrapText="1"/>
    </xf>
    <xf numFmtId="0" fontId="21" fillId="15" borderId="3" xfId="0" applyFont="1" applyFill="1" applyBorder="1" applyAlignment="1">
      <alignment horizontal="center" vertical="center" wrapText="1"/>
    </xf>
    <xf numFmtId="0" fontId="21" fillId="15" borderId="1" xfId="0" applyFont="1" applyFill="1" applyBorder="1" applyAlignment="1">
      <alignment horizontal="center" vertical="center" wrapText="1"/>
    </xf>
    <xf numFmtId="0" fontId="21" fillId="15" borderId="14" xfId="0" applyFont="1" applyFill="1" applyBorder="1" applyAlignment="1">
      <alignment horizontal="center" vertical="center" wrapText="1"/>
    </xf>
    <xf numFmtId="0" fontId="21" fillId="15" borderId="9" xfId="0" applyFont="1" applyFill="1" applyBorder="1" applyAlignment="1">
      <alignment horizontal="center" vertical="center" wrapText="1"/>
    </xf>
    <xf numFmtId="0" fontId="21" fillId="15" borderId="1" xfId="0" applyFont="1" applyFill="1" applyBorder="1" applyAlignment="1">
      <alignment horizontal="left" vertical="center" wrapText="1"/>
    </xf>
    <xf numFmtId="0" fontId="4" fillId="0" borderId="0" xfId="0" applyFont="1" applyAlignment="1" applyProtection="1">
      <alignment horizontal="center" vertical="center" wrapText="1"/>
      <protection locked="0"/>
    </xf>
    <xf numFmtId="0" fontId="4" fillId="5" borderId="10" xfId="0" applyFont="1" applyFill="1" applyBorder="1" applyAlignment="1" applyProtection="1">
      <alignment horizontal="left" vertical="center" wrapText="1"/>
      <protection locked="0"/>
    </xf>
    <xf numFmtId="0" fontId="4" fillId="5" borderId="7" xfId="0" applyFont="1" applyFill="1" applyBorder="1" applyAlignment="1" applyProtection="1">
      <alignment horizontal="left" vertical="center" wrapText="1"/>
      <protection locked="0"/>
    </xf>
    <xf numFmtId="0" fontId="21" fillId="15" borderId="49" xfId="0" applyFont="1" applyFill="1" applyBorder="1" applyAlignment="1" applyProtection="1">
      <alignment horizontal="left" vertical="center" wrapText="1"/>
      <protection locked="0"/>
    </xf>
    <xf numFmtId="0" fontId="24" fillId="0" borderId="35" xfId="0" applyFont="1" applyBorder="1" applyAlignment="1">
      <alignment horizontal="center" vertical="center"/>
    </xf>
    <xf numFmtId="0" fontId="21" fillId="15" borderId="20" xfId="0" applyFont="1" applyFill="1" applyBorder="1" applyAlignment="1">
      <alignment horizontal="right" vertical="center" wrapText="1"/>
    </xf>
    <xf numFmtId="0" fontId="21" fillId="15" borderId="21" xfId="0" applyFont="1" applyFill="1" applyBorder="1" applyAlignment="1">
      <alignment horizontal="right" vertical="center" wrapText="1"/>
    </xf>
    <xf numFmtId="0" fontId="21" fillId="15" borderId="22" xfId="0" applyFont="1" applyFill="1" applyBorder="1" applyAlignment="1">
      <alignment horizontal="right" vertical="center" wrapText="1"/>
    </xf>
    <xf numFmtId="0" fontId="21" fillId="15" borderId="10" xfId="0" applyFont="1" applyFill="1" applyBorder="1" applyAlignment="1" applyProtection="1">
      <alignment horizontal="left" vertical="center" wrapText="1"/>
      <protection locked="0"/>
    </xf>
    <xf numFmtId="0" fontId="21" fillId="15" borderId="7" xfId="0" applyFont="1" applyFill="1" applyBorder="1" applyAlignment="1" applyProtection="1">
      <alignment horizontal="left" vertical="center" wrapText="1"/>
      <protection locked="0"/>
    </xf>
    <xf numFmtId="0" fontId="21" fillId="15" borderId="2" xfId="0" applyFont="1" applyFill="1" applyBorder="1" applyAlignment="1" applyProtection="1">
      <alignment horizontal="left" vertical="center" wrapText="1"/>
      <protection locked="0"/>
    </xf>
    <xf numFmtId="0" fontId="4" fillId="2" borderId="10" xfId="0" applyFont="1" applyFill="1" applyBorder="1" applyAlignment="1" applyProtection="1">
      <alignment horizontal="left" vertical="center" wrapText="1"/>
      <protection locked="0"/>
    </xf>
    <xf numFmtId="0" fontId="4" fillId="2" borderId="7" xfId="0" applyFont="1" applyFill="1" applyBorder="1" applyAlignment="1" applyProtection="1">
      <alignment horizontal="left" vertical="center" wrapText="1"/>
      <protection locked="0"/>
    </xf>
    <xf numFmtId="0" fontId="4" fillId="2" borderId="2" xfId="0" applyFont="1" applyFill="1" applyBorder="1" applyAlignment="1" applyProtection="1">
      <alignment horizontal="left" vertical="center" wrapText="1"/>
      <protection locked="0"/>
    </xf>
    <xf numFmtId="0" fontId="49" fillId="16" borderId="10" xfId="0" applyFont="1" applyFill="1" applyBorder="1" applyAlignment="1">
      <alignment horizontal="center" vertical="center" wrapText="1"/>
    </xf>
    <xf numFmtId="0" fontId="49" fillId="16" borderId="7" xfId="0" applyFont="1" applyFill="1" applyBorder="1" applyAlignment="1">
      <alignment horizontal="center" vertical="center" wrapText="1"/>
    </xf>
    <xf numFmtId="0" fontId="49" fillId="16" borderId="2" xfId="0" applyFont="1" applyFill="1" applyBorder="1" applyAlignment="1">
      <alignment horizontal="center" vertical="center" wrapText="1"/>
    </xf>
    <xf numFmtId="0" fontId="25" fillId="2" borderId="12" xfId="0" applyFont="1" applyFill="1" applyBorder="1" applyAlignment="1" applyProtection="1">
      <alignment horizontal="left" vertical="center"/>
      <protection locked="0"/>
    </xf>
    <xf numFmtId="0" fontId="49" fillId="16" borderId="16" xfId="0" applyFont="1" applyFill="1" applyBorder="1" applyAlignment="1">
      <alignment horizontal="center" vertical="center" wrapText="1"/>
    </xf>
    <xf numFmtId="0" fontId="49" fillId="16" borderId="0" xfId="0" applyFont="1" applyFill="1" applyAlignment="1">
      <alignment horizontal="center" vertical="center" wrapText="1"/>
    </xf>
    <xf numFmtId="0" fontId="35" fillId="11" borderId="16" xfId="0" applyFont="1" applyFill="1" applyBorder="1" applyAlignment="1" applyProtection="1">
      <alignment horizontal="left" vertical="center" wrapText="1"/>
      <protection locked="0"/>
    </xf>
    <xf numFmtId="0" fontId="35" fillId="11" borderId="0" xfId="0" applyFont="1" applyFill="1" applyAlignment="1" applyProtection="1">
      <alignment horizontal="left" vertical="center" wrapText="1"/>
      <protection locked="0"/>
    </xf>
    <xf numFmtId="0" fontId="3" fillId="2" borderId="1" xfId="0" applyFont="1" applyFill="1" applyBorder="1" applyAlignment="1" applyProtection="1">
      <alignment horizontal="left" vertical="center" wrapText="1"/>
      <protection locked="0"/>
    </xf>
    <xf numFmtId="0" fontId="4" fillId="2" borderId="1" xfId="0" applyFont="1" applyFill="1" applyBorder="1" applyAlignment="1" applyProtection="1">
      <alignment horizontal="left" vertical="center" wrapText="1"/>
      <protection locked="0"/>
    </xf>
    <xf numFmtId="0" fontId="3" fillId="3" borderId="1" xfId="0" applyFont="1" applyFill="1" applyBorder="1" applyAlignment="1">
      <alignment horizontal="left" vertical="center" wrapText="1"/>
    </xf>
    <xf numFmtId="0" fontId="3" fillId="2" borderId="1" xfId="0" applyFont="1" applyFill="1" applyBorder="1" applyAlignment="1">
      <alignment horizontal="left" vertical="center" wrapText="1"/>
    </xf>
    <xf numFmtId="0" fontId="18" fillId="3" borderId="1" xfId="0" applyFont="1" applyFill="1" applyBorder="1" applyAlignment="1">
      <alignment horizontal="left" vertical="center" wrapText="1"/>
    </xf>
    <xf numFmtId="0" fontId="21" fillId="2" borderId="0" xfId="0" applyFont="1" applyFill="1" applyAlignment="1" applyProtection="1">
      <alignment horizontal="center" vertical="center" wrapText="1"/>
      <protection locked="0"/>
    </xf>
    <xf numFmtId="0" fontId="21" fillId="15" borderId="10" xfId="0" applyFont="1" applyFill="1" applyBorder="1" applyAlignment="1" applyProtection="1">
      <alignment horizontal="left" vertical="center"/>
      <protection locked="0"/>
    </xf>
    <xf numFmtId="0" fontId="21" fillId="15" borderId="7" xfId="0" applyFont="1" applyFill="1" applyBorder="1" applyAlignment="1" applyProtection="1">
      <alignment horizontal="left" vertical="center"/>
      <protection locked="0"/>
    </xf>
    <xf numFmtId="0" fontId="21" fillId="15" borderId="2" xfId="0" applyFont="1" applyFill="1" applyBorder="1" applyAlignment="1" applyProtection="1">
      <alignment horizontal="left" vertical="center"/>
      <protection locked="0"/>
    </xf>
    <xf numFmtId="0" fontId="18" fillId="29" borderId="49" xfId="0" applyFont="1" applyFill="1" applyBorder="1" applyAlignment="1">
      <alignment horizontal="center" vertical="center" wrapText="1"/>
    </xf>
    <xf numFmtId="0" fontId="18" fillId="29" borderId="51" xfId="0" applyFont="1" applyFill="1" applyBorder="1" applyAlignment="1">
      <alignment horizontal="center" vertical="center" wrapText="1"/>
    </xf>
    <xf numFmtId="0" fontId="18" fillId="29" borderId="3" xfId="0" applyFont="1" applyFill="1" applyBorder="1" applyAlignment="1">
      <alignment horizontal="center" vertical="center" wrapText="1"/>
    </xf>
    <xf numFmtId="0" fontId="18" fillId="8" borderId="18" xfId="0" applyFont="1" applyFill="1" applyBorder="1" applyAlignment="1" applyProtection="1">
      <alignment horizontal="justify" vertical="center" wrapText="1"/>
      <protection locked="0"/>
    </xf>
    <xf numFmtId="0" fontId="18" fillId="8" borderId="0" xfId="0" applyFont="1" applyFill="1" applyAlignment="1" applyProtection="1">
      <alignment horizontal="justify" vertical="center" wrapText="1"/>
      <protection locked="0"/>
    </xf>
    <xf numFmtId="165" fontId="21" fillId="15" borderId="1" xfId="0" applyNumberFormat="1" applyFont="1" applyFill="1" applyBorder="1" applyAlignment="1">
      <alignment horizontal="center" vertical="center" wrapText="1"/>
    </xf>
    <xf numFmtId="41" fontId="21" fillId="15" borderId="49" xfId="0" applyNumberFormat="1" applyFont="1" applyFill="1" applyBorder="1" applyAlignment="1">
      <alignment horizontal="center" vertical="center" wrapText="1"/>
    </xf>
    <xf numFmtId="41" fontId="21" fillId="15" borderId="3" xfId="0" applyNumberFormat="1" applyFont="1" applyFill="1" applyBorder="1" applyAlignment="1">
      <alignment horizontal="center" vertical="center" wrapText="1"/>
    </xf>
    <xf numFmtId="0" fontId="21" fillId="15" borderId="11" xfId="0" applyFont="1" applyFill="1" applyBorder="1" applyAlignment="1">
      <alignment horizontal="center" vertical="center" wrapText="1"/>
    </xf>
    <xf numFmtId="0" fontId="21" fillId="15" borderId="13" xfId="0" applyFont="1" applyFill="1" applyBorder="1" applyAlignment="1">
      <alignment horizontal="center" vertical="center" wrapText="1"/>
    </xf>
    <xf numFmtId="0" fontId="21" fillId="15" borderId="17" xfId="0" applyFont="1" applyFill="1" applyBorder="1" applyAlignment="1">
      <alignment horizontal="center" vertical="center" wrapText="1"/>
    </xf>
    <xf numFmtId="0" fontId="21" fillId="15" borderId="19" xfId="0" applyFont="1" applyFill="1" applyBorder="1" applyAlignment="1">
      <alignment horizontal="center" vertical="center" wrapText="1"/>
    </xf>
    <xf numFmtId="0" fontId="3" fillId="3" borderId="10" xfId="0" applyFont="1" applyFill="1" applyBorder="1" applyAlignment="1">
      <alignment horizontal="left" vertical="center" wrapText="1"/>
    </xf>
    <xf numFmtId="0" fontId="3" fillId="3" borderId="2" xfId="0" applyFont="1" applyFill="1" applyBorder="1" applyAlignment="1">
      <alignment horizontal="left" vertical="center" wrapText="1"/>
    </xf>
    <xf numFmtId="0" fontId="4" fillId="2" borderId="0" xfId="0" applyFont="1" applyFill="1" applyAlignment="1" applyProtection="1">
      <alignment horizontal="center" vertical="center" wrapText="1"/>
      <protection locked="0"/>
    </xf>
    <xf numFmtId="41" fontId="3" fillId="2" borderId="1" xfId="0" applyNumberFormat="1" applyFont="1" applyFill="1" applyBorder="1" applyAlignment="1">
      <alignment horizontal="left" vertical="center" wrapText="1"/>
    </xf>
    <xf numFmtId="0" fontId="18" fillId="2" borderId="1" xfId="0" applyFont="1" applyFill="1" applyBorder="1" applyAlignment="1">
      <alignment horizontal="left" vertical="center"/>
    </xf>
    <xf numFmtId="0" fontId="3" fillId="2" borderId="0" xfId="0" applyFont="1" applyFill="1" applyAlignment="1" applyProtection="1">
      <alignment horizontal="center" vertical="center" wrapText="1"/>
      <protection locked="0"/>
    </xf>
    <xf numFmtId="0" fontId="3" fillId="8" borderId="18" xfId="0" applyFont="1" applyFill="1" applyBorder="1" applyAlignment="1" applyProtection="1">
      <alignment horizontal="left" vertical="center"/>
      <protection locked="0"/>
    </xf>
    <xf numFmtId="0" fontId="3" fillId="8" borderId="0" xfId="0" applyFont="1" applyFill="1" applyAlignment="1" applyProtection="1">
      <alignment horizontal="left" vertical="center"/>
      <protection locked="0"/>
    </xf>
    <xf numFmtId="0" fontId="21" fillId="15" borderId="1" xfId="0" applyFont="1" applyFill="1" applyBorder="1" applyAlignment="1">
      <alignment horizontal="center" vertical="center" textRotation="90"/>
    </xf>
    <xf numFmtId="41" fontId="21" fillId="15" borderId="1" xfId="0" applyNumberFormat="1" applyFont="1" applyFill="1" applyBorder="1" applyAlignment="1">
      <alignment horizontal="center" vertical="center" wrapText="1"/>
    </xf>
    <xf numFmtId="0" fontId="21" fillId="15" borderId="2" xfId="0" applyFont="1" applyFill="1" applyBorder="1" applyAlignment="1">
      <alignment horizontal="center" vertical="center" textRotation="90"/>
    </xf>
    <xf numFmtId="0" fontId="4" fillId="5" borderId="1" xfId="0" applyFont="1" applyFill="1" applyBorder="1" applyAlignment="1" applyProtection="1">
      <alignment horizontal="left" vertical="center" wrapText="1"/>
      <protection locked="0"/>
    </xf>
    <xf numFmtId="0" fontId="3" fillId="10" borderId="1" xfId="0" applyFont="1" applyFill="1" applyBorder="1" applyAlignment="1">
      <alignment horizontal="center" vertical="center" wrapText="1"/>
    </xf>
    <xf numFmtId="0" fontId="3" fillId="17" borderId="49" xfId="0" applyFont="1" applyFill="1" applyBorder="1" applyAlignment="1">
      <alignment horizontal="center" vertical="center" wrapText="1"/>
    </xf>
    <xf numFmtId="0" fontId="3" fillId="17" borderId="3" xfId="0" applyFont="1" applyFill="1" applyBorder="1" applyAlignment="1">
      <alignment horizontal="center" vertical="center" wrapText="1"/>
    </xf>
    <xf numFmtId="0" fontId="3" fillId="17" borderId="1" xfId="0" applyFont="1" applyFill="1" applyBorder="1" applyAlignment="1">
      <alignment horizontal="center" vertical="center" wrapText="1"/>
    </xf>
    <xf numFmtId="0" fontId="3" fillId="10" borderId="49" xfId="0" applyFont="1" applyFill="1" applyBorder="1" applyAlignment="1">
      <alignment horizontal="center" vertical="center" wrapText="1"/>
    </xf>
    <xf numFmtId="0" fontId="3" fillId="10" borderId="3" xfId="0" applyFont="1" applyFill="1" applyBorder="1" applyAlignment="1">
      <alignment horizontal="center" vertical="center" wrapText="1"/>
    </xf>
    <xf numFmtId="0" fontId="3" fillId="17" borderId="1" xfId="0" applyFont="1" applyFill="1" applyBorder="1" applyAlignment="1" applyProtection="1">
      <alignment horizontal="center" vertical="center" wrapText="1"/>
      <protection locked="0"/>
    </xf>
    <xf numFmtId="0" fontId="3" fillId="10" borderId="1" xfId="0" applyFont="1" applyFill="1" applyBorder="1" applyAlignment="1" applyProtection="1">
      <alignment horizontal="center" vertical="center" wrapText="1"/>
      <protection locked="0"/>
    </xf>
    <xf numFmtId="41" fontId="21" fillId="15" borderId="1" xfId="0" applyNumberFormat="1" applyFont="1" applyFill="1" applyBorder="1" applyAlignment="1">
      <alignment horizontal="left" vertical="center" wrapText="1"/>
    </xf>
    <xf numFmtId="0" fontId="21" fillId="15" borderId="49" xfId="0" applyFont="1" applyFill="1" applyBorder="1" applyAlignment="1" applyProtection="1">
      <alignment horizontal="center" vertical="center" wrapText="1"/>
      <protection locked="0"/>
    </xf>
    <xf numFmtId="0" fontId="21" fillId="15" borderId="3" xfId="0" applyFont="1" applyFill="1" applyBorder="1" applyAlignment="1" applyProtection="1">
      <alignment horizontal="center" vertical="center" wrapText="1"/>
      <protection locked="0"/>
    </xf>
    <xf numFmtId="164" fontId="21" fillId="15" borderId="1" xfId="4" applyFont="1" applyFill="1" applyBorder="1" applyAlignment="1" applyProtection="1">
      <alignment horizontal="center" vertical="center" wrapText="1"/>
      <protection locked="0"/>
    </xf>
    <xf numFmtId="0" fontId="21" fillId="15" borderId="1" xfId="0" applyFont="1" applyFill="1" applyBorder="1" applyAlignment="1" applyProtection="1">
      <alignment horizontal="center" vertical="center"/>
      <protection locked="0"/>
    </xf>
    <xf numFmtId="0" fontId="21" fillId="15" borderId="11" xfId="0" applyFont="1" applyFill="1" applyBorder="1" applyAlignment="1" applyProtection="1">
      <alignment horizontal="left" vertical="center"/>
      <protection locked="0"/>
    </xf>
    <xf numFmtId="0" fontId="21" fillId="15" borderId="12" xfId="0" applyFont="1" applyFill="1" applyBorder="1" applyAlignment="1" applyProtection="1">
      <alignment horizontal="left" vertical="center"/>
      <protection locked="0"/>
    </xf>
    <xf numFmtId="0" fontId="36" fillId="0" borderId="16" xfId="0" applyFont="1" applyBorder="1" applyAlignment="1" applyProtection="1">
      <alignment horizontal="center" vertical="center"/>
      <protection locked="0"/>
    </xf>
    <xf numFmtId="0" fontId="4" fillId="5" borderId="1" xfId="0" applyFont="1" applyFill="1" applyBorder="1" applyAlignment="1" applyProtection="1">
      <alignment horizontal="justify" vertical="center" wrapText="1"/>
      <protection locked="0"/>
    </xf>
    <xf numFmtId="0" fontId="21" fillId="15" borderId="10" xfId="0" applyFont="1" applyFill="1" applyBorder="1" applyAlignment="1" applyProtection="1">
      <alignment horizontal="center" vertical="center"/>
      <protection locked="0"/>
    </xf>
    <xf numFmtId="0" fontId="21" fillId="15" borderId="7" xfId="0" applyFont="1" applyFill="1" applyBorder="1" applyAlignment="1" applyProtection="1">
      <alignment horizontal="center" vertical="center"/>
      <protection locked="0"/>
    </xf>
    <xf numFmtId="0" fontId="21" fillId="15" borderId="1" xfId="0" applyFont="1" applyFill="1" applyBorder="1" applyAlignment="1">
      <alignment horizontal="right" vertical="center" wrapText="1"/>
    </xf>
    <xf numFmtId="169" fontId="21" fillId="15" borderId="1" xfId="4" applyNumberFormat="1" applyFont="1" applyFill="1" applyBorder="1" applyAlignment="1" applyProtection="1">
      <alignment horizontal="center" vertical="center" wrapText="1"/>
    </xf>
    <xf numFmtId="0" fontId="43" fillId="15" borderId="10" xfId="0" applyFont="1" applyFill="1" applyBorder="1" applyAlignment="1" applyProtection="1">
      <alignment horizontal="left" vertical="center" wrapText="1"/>
      <protection locked="0"/>
    </xf>
    <xf numFmtId="0" fontId="43" fillId="15" borderId="7" xfId="0" applyFont="1" applyFill="1" applyBorder="1" applyAlignment="1" applyProtection="1">
      <alignment horizontal="left" vertical="center" wrapText="1"/>
      <protection locked="0"/>
    </xf>
    <xf numFmtId="0" fontId="18" fillId="2" borderId="7" xfId="0" applyFont="1" applyFill="1" applyBorder="1" applyAlignment="1" applyProtection="1">
      <alignment horizontal="left" vertical="center" wrapText="1"/>
      <protection locked="0"/>
    </xf>
    <xf numFmtId="0" fontId="18" fillId="2" borderId="2" xfId="0" applyFont="1" applyFill="1" applyBorder="1" applyAlignment="1" applyProtection="1">
      <alignment horizontal="left" vertical="center" wrapText="1"/>
      <protection locked="0"/>
    </xf>
    <xf numFmtId="0" fontId="43" fillId="15" borderId="10" xfId="0" applyFont="1" applyFill="1" applyBorder="1" applyAlignment="1">
      <alignment horizontal="center" vertical="center" wrapText="1"/>
    </xf>
    <xf numFmtId="0" fontId="43" fillId="15" borderId="7" xfId="0" applyFont="1" applyFill="1" applyBorder="1" applyAlignment="1">
      <alignment horizontal="center" vertical="center" wrapText="1"/>
    </xf>
    <xf numFmtId="0" fontId="43" fillId="15" borderId="2" xfId="0" applyFont="1" applyFill="1" applyBorder="1" applyAlignment="1">
      <alignment horizontal="center" vertical="center" wrapText="1"/>
    </xf>
    <xf numFmtId="0" fontId="43" fillId="15" borderId="1" xfId="0" applyFont="1" applyFill="1" applyBorder="1" applyAlignment="1">
      <alignment horizontal="center" vertical="center" wrapText="1"/>
    </xf>
    <xf numFmtId="0" fontId="18" fillId="26" borderId="49" xfId="0" applyFont="1" applyFill="1" applyBorder="1" applyAlignment="1">
      <alignment horizontal="center" vertical="center" wrapText="1"/>
    </xf>
    <xf numFmtId="0" fontId="18" fillId="26" borderId="3" xfId="0" applyFont="1" applyFill="1" applyBorder="1" applyAlignment="1">
      <alignment horizontal="center" vertical="center" wrapText="1"/>
    </xf>
    <xf numFmtId="0" fontId="21" fillId="15" borderId="7" xfId="0" applyFont="1" applyFill="1" applyBorder="1" applyAlignment="1">
      <alignment horizontal="right" vertical="center" wrapText="1"/>
    </xf>
    <xf numFmtId="0" fontId="21" fillId="15" borderId="12" xfId="0" applyFont="1" applyFill="1" applyBorder="1" applyAlignment="1">
      <alignment horizontal="right" vertical="center" wrapText="1"/>
    </xf>
    <xf numFmtId="0" fontId="18" fillId="26" borderId="10" xfId="0" applyFont="1" applyFill="1" applyBorder="1" applyAlignment="1">
      <alignment horizontal="center" vertical="center" wrapText="1"/>
    </xf>
    <xf numFmtId="0" fontId="18" fillId="26" borderId="2" xfId="0" applyFont="1" applyFill="1" applyBorder="1" applyAlignment="1">
      <alignment horizontal="center" vertical="center" wrapText="1"/>
    </xf>
    <xf numFmtId="0" fontId="4" fillId="5" borderId="10" xfId="0" applyFont="1" applyFill="1" applyBorder="1" applyAlignment="1" applyProtection="1">
      <alignment horizontal="left" wrapText="1"/>
      <protection locked="0"/>
    </xf>
    <xf numFmtId="0" fontId="4" fillId="5" borderId="7" xfId="0" applyFont="1" applyFill="1" applyBorder="1" applyAlignment="1" applyProtection="1">
      <alignment horizontal="left" wrapText="1"/>
      <protection locked="0"/>
    </xf>
    <xf numFmtId="0" fontId="4" fillId="5" borderId="2" xfId="0" applyFont="1" applyFill="1" applyBorder="1" applyAlignment="1" applyProtection="1">
      <alignment horizontal="left" wrapText="1"/>
      <protection locked="0"/>
    </xf>
    <xf numFmtId="0" fontId="43" fillId="15" borderId="10" xfId="0" applyFont="1" applyFill="1" applyBorder="1" applyAlignment="1">
      <alignment horizontal="left" vertical="center" wrapText="1"/>
    </xf>
    <xf numFmtId="0" fontId="43" fillId="15" borderId="7" xfId="0" applyFont="1" applyFill="1" applyBorder="1" applyAlignment="1">
      <alignment horizontal="left" vertical="center" wrapText="1"/>
    </xf>
    <xf numFmtId="0" fontId="43" fillId="15" borderId="2" xfId="0" applyFont="1" applyFill="1" applyBorder="1" applyAlignment="1">
      <alignment horizontal="left" vertical="center" wrapText="1"/>
    </xf>
    <xf numFmtId="0" fontId="21" fillId="25" borderId="10" xfId="0" applyFont="1" applyFill="1" applyBorder="1" applyAlignment="1" applyProtection="1">
      <alignment horizontal="left" vertical="center"/>
      <protection locked="0"/>
    </xf>
    <xf numFmtId="0" fontId="21" fillId="25" borderId="7" xfId="0" applyFont="1" applyFill="1" applyBorder="1" applyAlignment="1" applyProtection="1">
      <alignment horizontal="left" vertical="center"/>
      <protection locked="0"/>
    </xf>
    <xf numFmtId="0" fontId="21" fillId="25" borderId="2" xfId="0" applyFont="1" applyFill="1" applyBorder="1" applyAlignment="1" applyProtection="1">
      <alignment horizontal="left" vertical="center"/>
      <protection locked="0"/>
    </xf>
    <xf numFmtId="0" fontId="3" fillId="8" borderId="12" xfId="0" applyFont="1" applyFill="1" applyBorder="1" applyAlignment="1">
      <alignment horizontal="left" vertical="center" wrapText="1"/>
    </xf>
    <xf numFmtId="0" fontId="3" fillId="8" borderId="13" xfId="0" applyFont="1" applyFill="1" applyBorder="1" applyAlignment="1">
      <alignment horizontal="left" vertical="center" wrapText="1"/>
    </xf>
    <xf numFmtId="0" fontId="4" fillId="5" borderId="0" xfId="0" applyFont="1" applyFill="1" applyAlignment="1" applyProtection="1">
      <alignment horizontal="left" wrapText="1"/>
      <protection locked="0"/>
    </xf>
    <xf numFmtId="164" fontId="4" fillId="5" borderId="10" xfId="0" applyNumberFormat="1" applyFont="1" applyFill="1" applyBorder="1" applyAlignment="1" applyProtection="1">
      <alignment horizontal="left" wrapText="1"/>
      <protection locked="0"/>
    </xf>
    <xf numFmtId="0" fontId="43" fillId="15" borderId="17" xfId="0" applyFont="1" applyFill="1" applyBorder="1" applyAlignment="1">
      <alignment horizontal="left" vertical="center" wrapText="1"/>
    </xf>
    <xf numFmtId="0" fontId="43" fillId="15" borderId="18" xfId="0" applyFont="1" applyFill="1" applyBorder="1" applyAlignment="1">
      <alignment horizontal="left" vertical="center" wrapText="1"/>
    </xf>
    <xf numFmtId="0" fontId="43" fillId="15" borderId="19" xfId="0" applyFont="1" applyFill="1" applyBorder="1" applyAlignment="1">
      <alignment horizontal="left" vertical="center" wrapText="1"/>
    </xf>
    <xf numFmtId="164" fontId="24" fillId="0" borderId="7" xfId="0" applyNumberFormat="1" applyFont="1" applyBorder="1" applyAlignment="1">
      <alignment horizontal="center"/>
    </xf>
    <xf numFmtId="0" fontId="24" fillId="0" borderId="7" xfId="0" applyFont="1" applyBorder="1" applyAlignment="1">
      <alignment horizontal="center"/>
    </xf>
    <xf numFmtId="0" fontId="21" fillId="20" borderId="16" xfId="0" applyFont="1" applyFill="1" applyBorder="1" applyAlignment="1">
      <alignment horizontal="center" vertical="center" wrapText="1"/>
    </xf>
    <xf numFmtId="0" fontId="21" fillId="20" borderId="5" xfId="0" applyFont="1" applyFill="1" applyBorder="1" applyAlignment="1">
      <alignment horizontal="center" vertical="center" wrapText="1"/>
    </xf>
    <xf numFmtId="49" fontId="17" fillId="20" borderId="46" xfId="4" applyNumberFormat="1" applyFont="1" applyFill="1" applyBorder="1" applyAlignment="1">
      <alignment horizontal="center" vertical="center"/>
    </xf>
    <xf numFmtId="49" fontId="17" fillId="20" borderId="41" xfId="4" applyNumberFormat="1" applyFont="1" applyFill="1" applyBorder="1" applyAlignment="1">
      <alignment horizontal="center" vertical="center"/>
    </xf>
    <xf numFmtId="49" fontId="17" fillId="20" borderId="46" xfId="4" applyNumberFormat="1" applyFont="1" applyFill="1" applyBorder="1" applyAlignment="1">
      <alignment horizontal="center" vertical="center" wrapText="1"/>
    </xf>
    <xf numFmtId="164" fontId="17" fillId="20" borderId="43" xfId="4" applyFont="1" applyFill="1" applyBorder="1" applyAlignment="1">
      <alignment horizontal="center" vertical="center"/>
    </xf>
    <xf numFmtId="164" fontId="17" fillId="20" borderId="47" xfId="4" applyFont="1" applyFill="1" applyBorder="1" applyAlignment="1">
      <alignment horizontal="center" vertical="center"/>
    </xf>
    <xf numFmtId="164" fontId="17" fillId="20" borderId="48" xfId="4" applyFont="1" applyFill="1" applyBorder="1" applyAlignment="1">
      <alignment horizontal="center" vertical="center"/>
    </xf>
    <xf numFmtId="164" fontId="17" fillId="20" borderId="37" xfId="4" applyFont="1" applyFill="1" applyBorder="1" applyAlignment="1">
      <alignment horizontal="center" vertical="center"/>
    </xf>
    <xf numFmtId="164" fontId="17" fillId="20" borderId="44" xfId="4" applyFont="1" applyFill="1" applyBorder="1" applyAlignment="1">
      <alignment horizontal="center" vertical="center"/>
    </xf>
    <xf numFmtId="164" fontId="17" fillId="20" borderId="45" xfId="4" applyFont="1" applyFill="1" applyBorder="1" applyAlignment="1">
      <alignment horizontal="center" vertical="center"/>
    </xf>
    <xf numFmtId="9" fontId="17" fillId="20" borderId="36" xfId="3" applyFont="1" applyFill="1" applyBorder="1" applyAlignment="1">
      <alignment horizontal="center" vertical="center"/>
    </xf>
    <xf numFmtId="49" fontId="17" fillId="20" borderId="36" xfId="4" applyNumberFormat="1" applyFont="1" applyFill="1" applyBorder="1" applyAlignment="1">
      <alignment horizontal="center" vertical="center"/>
    </xf>
    <xf numFmtId="168" fontId="17" fillId="20" borderId="43" xfId="4" applyNumberFormat="1" applyFont="1" applyFill="1" applyBorder="1" applyAlignment="1">
      <alignment horizontal="center" vertical="center" wrapText="1"/>
    </xf>
    <xf numFmtId="168" fontId="17" fillId="20" borderId="37" xfId="4" applyNumberFormat="1" applyFont="1" applyFill="1" applyBorder="1" applyAlignment="1">
      <alignment horizontal="center" vertical="center" wrapText="1"/>
    </xf>
    <xf numFmtId="0" fontId="17" fillId="20" borderId="36" xfId="0" applyFont="1" applyFill="1" applyBorder="1" applyAlignment="1">
      <alignment horizontal="center" vertical="center"/>
    </xf>
    <xf numFmtId="168" fontId="17" fillId="20" borderId="0" xfId="4" applyNumberFormat="1" applyFont="1" applyFill="1" applyBorder="1" applyAlignment="1">
      <alignment horizontal="center" vertical="center" wrapText="1"/>
    </xf>
    <xf numFmtId="0" fontId="18" fillId="14" borderId="1" xfId="13" applyFont="1" applyFill="1" applyBorder="1" applyAlignment="1">
      <alignment horizontal="left" vertical="center" wrapText="1" readingOrder="1"/>
    </xf>
    <xf numFmtId="0" fontId="21" fillId="15" borderId="1" xfId="13" applyFont="1" applyFill="1" applyBorder="1" applyAlignment="1">
      <alignment horizontal="right"/>
    </xf>
    <xf numFmtId="0" fontId="21" fillId="15" borderId="1" xfId="13" applyFont="1" applyFill="1" applyBorder="1" applyAlignment="1">
      <alignment horizontal="center" vertical="center" wrapText="1"/>
    </xf>
    <xf numFmtId="0" fontId="21" fillId="15" borderId="1" xfId="13" applyFont="1" applyFill="1" applyBorder="1" applyAlignment="1">
      <alignment horizontal="center" vertical="center" wrapText="1" readingOrder="1"/>
    </xf>
    <xf numFmtId="0" fontId="21" fillId="15" borderId="49" xfId="13" applyFont="1" applyFill="1" applyBorder="1" applyAlignment="1">
      <alignment horizontal="center" vertical="center" wrapText="1" readingOrder="1"/>
    </xf>
    <xf numFmtId="41" fontId="21" fillId="15" borderId="1" xfId="13" applyNumberFormat="1" applyFont="1" applyFill="1" applyBorder="1" applyAlignment="1">
      <alignment horizontal="center" vertical="center" wrapText="1"/>
    </xf>
    <xf numFmtId="41" fontId="21" fillId="15" borderId="49" xfId="13" applyNumberFormat="1" applyFont="1" applyFill="1" applyBorder="1" applyAlignment="1">
      <alignment horizontal="center" vertical="center" wrapText="1"/>
    </xf>
    <xf numFmtId="0" fontId="18" fillId="12" borderId="1" xfId="13" applyFont="1" applyFill="1" applyBorder="1" applyAlignment="1">
      <alignment horizontal="left" vertical="center" readingOrder="1"/>
    </xf>
    <xf numFmtId="0" fontId="18" fillId="13" borderId="1" xfId="13" applyFont="1" applyFill="1" applyBorder="1" applyAlignment="1">
      <alignment horizontal="left" vertical="center" wrapText="1" readingOrder="1"/>
    </xf>
  </cellXfs>
  <cellStyles count="20">
    <cellStyle name="Correto" xfId="1" builtinId="26"/>
    <cellStyle name="Moeda 2" xfId="6" xr:uid="{00000000-0005-0000-0000-000001000000}"/>
    <cellStyle name="Moeda 2 2" xfId="16" xr:uid="{00000000-0005-0000-0000-000002000000}"/>
    <cellStyle name="Neutro" xfId="2" builtinId="28"/>
    <cellStyle name="Normal" xfId="0" builtinId="0"/>
    <cellStyle name="Normal 2" xfId="5" xr:uid="{00000000-0005-0000-0000-000005000000}"/>
    <cellStyle name="Normal 2 2" xfId="14" xr:uid="{00000000-0005-0000-0000-000006000000}"/>
    <cellStyle name="Normal 3" xfId="8" xr:uid="{00000000-0005-0000-0000-000007000000}"/>
    <cellStyle name="Normal 3 2" xfId="9" xr:uid="{00000000-0005-0000-0000-000008000000}"/>
    <cellStyle name="Normal 3 2 2" xfId="13" xr:uid="{00000000-0005-0000-0000-000009000000}"/>
    <cellStyle name="Percentagem" xfId="3" builtinId="5"/>
    <cellStyle name="Porcentagem 2" xfId="12" xr:uid="{00000000-0005-0000-0000-00000B000000}"/>
    <cellStyle name="Separador de milhares 2" xfId="15" xr:uid="{00000000-0005-0000-0000-00000C000000}"/>
    <cellStyle name="Vírgula" xfId="4" builtinId="3"/>
    <cellStyle name="Vírgula 2" xfId="7" xr:uid="{00000000-0005-0000-0000-00000E000000}"/>
    <cellStyle name="Vírgula 2 2" xfId="11" xr:uid="{00000000-0005-0000-0000-00000F000000}"/>
    <cellStyle name="Vírgula 2 2 2" xfId="19" xr:uid="{00000000-0005-0000-0000-000010000000}"/>
    <cellStyle name="Vírgula 2 3" xfId="17" xr:uid="{00000000-0005-0000-0000-000011000000}"/>
    <cellStyle name="Vírgula 4" xfId="10" xr:uid="{00000000-0005-0000-0000-000012000000}"/>
    <cellStyle name="Vírgula 4 2" xfId="18" xr:uid="{00000000-0005-0000-0000-000013000000}"/>
  </cellStyles>
  <dxfs count="39"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600"/>
      </font>
      <fill>
        <patternFill>
          <bgColor rgb="FF006600"/>
        </patternFill>
      </fill>
    </dxf>
    <dxf>
      <fill>
        <patternFill>
          <bgColor theme="4" tint="0.59996337778862885"/>
        </patternFill>
      </fill>
    </dxf>
    <dxf>
      <fill>
        <patternFill>
          <bgColor theme="9" tint="0.59996337778862885"/>
        </patternFill>
      </fill>
    </dxf>
    <dxf>
      <font>
        <color rgb="FF006600"/>
      </font>
      <fill>
        <patternFill>
          <bgColor rgb="FF006600"/>
        </patternFill>
      </fill>
    </dxf>
    <dxf>
      <fill>
        <patternFill>
          <bgColor theme="4" tint="0.59996337778862885"/>
        </patternFill>
      </fill>
    </dxf>
    <dxf>
      <fill>
        <patternFill>
          <bgColor theme="9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2" defaultPivotStyle="PivotStyleLight16"/>
  <colors>
    <mruColors>
      <color rgb="FF2A5664"/>
      <color rgb="FF006871"/>
      <color rgb="FFFFCCCC"/>
      <color rgb="FFE4F0F0"/>
      <color rgb="FF5E9AA6"/>
      <color rgb="FF5E9AC4"/>
      <color rgb="FFDEEBF6"/>
      <color rgb="FFD1E3F3"/>
      <color rgb="FFFFFADE"/>
      <color rgb="FFFFF7E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18" Type="http://schemas.openxmlformats.org/officeDocument/2006/relationships/externalLink" Target="externalLinks/externalLink7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externalLink" Target="externalLinks/externalLink6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5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4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8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3.xml"/><Relationship Id="rId22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</xdr:row>
          <xdr:rowOff>19050</xdr:rowOff>
        </xdr:from>
        <xdr:to>
          <xdr:col>11</xdr:col>
          <xdr:colOff>371475</xdr:colOff>
          <xdr:row>4</xdr:row>
          <xdr:rowOff>66675</xdr:rowOff>
        </xdr:to>
        <xdr:sp macro="" textlink="">
          <xdr:nvSpPr>
            <xdr:cNvPr id="40961" name="Object 1" hidden="1">
              <a:extLst>
                <a:ext uri="{63B3BB69-23CF-44E3-9099-C40C66FF867C}">
                  <a14:compatExt spid="_x0000_s40961"/>
                </a:ext>
                <a:ext uri="{FF2B5EF4-FFF2-40B4-BE49-F238E27FC236}">
                  <a16:creationId xmlns:a16="http://schemas.microsoft.com/office/drawing/2014/main" id="{00000000-0008-0000-0100-000001A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76200</xdr:colOff>
          <xdr:row>5</xdr:row>
          <xdr:rowOff>0</xdr:rowOff>
        </xdr:from>
        <xdr:to>
          <xdr:col>16</xdr:col>
          <xdr:colOff>0</xdr:colOff>
          <xdr:row>5</xdr:row>
          <xdr:rowOff>0</xdr:rowOff>
        </xdr:to>
        <xdr:sp macro="" textlink="">
          <xdr:nvSpPr>
            <xdr:cNvPr id="40962" name="Object 2" hidden="1">
              <a:extLst>
                <a:ext uri="{63B3BB69-23CF-44E3-9099-C40C66FF867C}">
                  <a14:compatExt spid="_x0000_s40962"/>
                </a:ext>
                <a:ext uri="{FF2B5EF4-FFF2-40B4-BE49-F238E27FC236}">
                  <a16:creationId xmlns:a16="http://schemas.microsoft.com/office/drawing/2014/main" id="{00000000-0008-0000-0100-000002A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76200</xdr:colOff>
          <xdr:row>5</xdr:row>
          <xdr:rowOff>0</xdr:rowOff>
        </xdr:from>
        <xdr:to>
          <xdr:col>16</xdr:col>
          <xdr:colOff>0</xdr:colOff>
          <xdr:row>5</xdr:row>
          <xdr:rowOff>0</xdr:rowOff>
        </xdr:to>
        <xdr:sp macro="" textlink="">
          <xdr:nvSpPr>
            <xdr:cNvPr id="40963" name="Object 3" hidden="1">
              <a:extLst>
                <a:ext uri="{63B3BB69-23CF-44E3-9099-C40C66FF867C}">
                  <a14:compatExt spid="_x0000_s40963"/>
                </a:ext>
                <a:ext uri="{FF2B5EF4-FFF2-40B4-BE49-F238E27FC236}">
                  <a16:creationId xmlns:a16="http://schemas.microsoft.com/office/drawing/2014/main" id="{00000000-0008-0000-0100-000003A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76200</xdr:colOff>
          <xdr:row>5</xdr:row>
          <xdr:rowOff>0</xdr:rowOff>
        </xdr:from>
        <xdr:to>
          <xdr:col>16</xdr:col>
          <xdr:colOff>0</xdr:colOff>
          <xdr:row>5</xdr:row>
          <xdr:rowOff>0</xdr:rowOff>
        </xdr:to>
        <xdr:sp macro="" textlink="">
          <xdr:nvSpPr>
            <xdr:cNvPr id="40964" name="Object 4" hidden="1">
              <a:extLst>
                <a:ext uri="{63B3BB69-23CF-44E3-9099-C40C66FF867C}">
                  <a14:compatExt spid="_x0000_s40964"/>
                </a:ext>
                <a:ext uri="{FF2B5EF4-FFF2-40B4-BE49-F238E27FC236}">
                  <a16:creationId xmlns:a16="http://schemas.microsoft.com/office/drawing/2014/main" id="{00000000-0008-0000-0100-000004A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0</xdr:col>
      <xdr:colOff>0</xdr:colOff>
      <xdr:row>4</xdr:row>
      <xdr:rowOff>0</xdr:rowOff>
    </xdr:from>
    <xdr:to>
      <xdr:col>11</xdr:col>
      <xdr:colOff>406890</xdr:colOff>
      <xdr:row>5</xdr:row>
      <xdr:rowOff>0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5238750"/>
          <a:ext cx="7142426" cy="38100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patriciagomo\Desktop\Reprograma&#231;&#227;o%202020\Tabelas%20Diretrizes%20-%20Reprog%20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patriciagomo/Desktop/Tabelas%20Diretrizes%20-%20Reprog%202020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Zaile\Desktop\Nova%20pasta\Parecer%20da%20Reprograma&#231;&#227;o%202021%20CAU-MG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einaldo.antero\Desktop\L&#237;vian\2021\Or&#231;amento%202022\TMP-Anexo%204.%20Descritivo%20(com%20a&#231;&#245;es%20estrat&#233;gicas)-r02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ASSESSORIA%20DE%20PLANEJAMENTO%20E%20GESTAO%20DA%20ESTRATEGIA/2022/Programa&#231;&#227;o%202022/Diretrizes%202022/MINUTA%20-%20Tabelas%20Diretrizes%20Programa&#231;&#227;o%202022%20_Final3_20.09.2022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patriciagomo\Desktop\MINUTA%20-%20Tabelas%20Diretrizes%20Programa&#231;&#227;o%202022%20_Final3_20.09.2022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ASSESSORIA%20DE%20PLANEJAMENTO%20E%20GESTAO%20DA%20ESTRATEGIA/2021/Reprograma&#231;&#227;o%202021/An&#225;lise%20das%20Presta&#231;&#245;es%20de%20Contas%20CAU%202020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Zaile\Desktop\Tabelas%20Diretrizes%20Programa&#231;&#227;o%202022%20_Final3_27.09.2021-Ajustada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UADRO 1"/>
      <sheetName val="QUADRO 2"/>
      <sheetName val="QUADRO 3"/>
      <sheetName val="QUADRO 4"/>
      <sheetName val="Simulação de %"/>
      <sheetName val="Estudos - Receita"/>
      <sheetName val="ANEXO I"/>
      <sheetName val="ANEXO II"/>
      <sheetName val="ANEXO III e Anexo IX"/>
      <sheetName val="Estudos - Quant. PF"/>
      <sheetName val="NOVOS EGRESSOS"/>
      <sheetName val="Estudos-Percentuais"/>
      <sheetName val="ANEXO IV"/>
      <sheetName val="ANEXO V"/>
      <sheetName val="Estudos - Quant. PJ"/>
      <sheetName val="ANEXO VI"/>
      <sheetName val="ANEXO VII"/>
      <sheetName val="ANEXO VIII"/>
      <sheetName val="ANEXO X Aporte FA"/>
      <sheetName val="ANEXO X.I Repasse FA"/>
      <sheetName val="ANEXO XI CSC Total"/>
      <sheetName val="ANEXO XI.I CSC RIA"/>
      <sheetName val="ANEXO XI.II CSC Essencial"/>
      <sheetName val="ANEXO XI.III - RIA Enc. dContas"/>
      <sheetName val="ANEXO XII"/>
      <sheetName val="XIII. TAXAS BANCÁRIAS"/>
      <sheetName val="NOVO SISCAF"/>
      <sheetName val="Gráficos e Tabelas"/>
      <sheetName val="Resumo - Ajuste pelos UFs"/>
      <sheetName val="Resumo"/>
      <sheetName val="AÇÕES ESTRATÉGICAS - DESCRIÇÃO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/>
      <sheetData sheetId="16" refreshError="1"/>
      <sheetData sheetId="17" refreshError="1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 refreshError="1"/>
      <sheetData sheetId="27" refreshError="1"/>
      <sheetData sheetId="28" refreshError="1"/>
      <sheetData sheetId="29"/>
      <sheetData sheetId="3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UADRO 1"/>
      <sheetName val="QUADRO 2"/>
      <sheetName val="QUADRO 3"/>
      <sheetName val="QUADRO 4"/>
      <sheetName val="Simulação de %"/>
      <sheetName val="Estudos - Receita"/>
      <sheetName val="ANEXO I"/>
      <sheetName val="ANEXO II"/>
      <sheetName val="ANEXO III e Anexo IX"/>
      <sheetName val="Estudos - Quant. PF"/>
      <sheetName val="NOVOS EGRESSOS"/>
      <sheetName val="Estudos-Percentuais"/>
      <sheetName val="ANEXO IV"/>
      <sheetName val="ANEXO V"/>
      <sheetName val="Estudos - Quant. PJ"/>
      <sheetName val="ANEXO VI"/>
      <sheetName val="ANEXO VII"/>
      <sheetName val="ANEXO VIII"/>
      <sheetName val="ANEXO X Aporte FA"/>
      <sheetName val="ANEXO X.I Repasse FA"/>
      <sheetName val="ANEXO XI CSC Total"/>
      <sheetName val="ANEXO XI.I CSC RIA"/>
      <sheetName val="ANEXO XI.II CSC Essencial"/>
      <sheetName val="ANEXO XI.III - RIA Enc. dContas"/>
      <sheetName val="ANEXO XII"/>
      <sheetName val="XIII. TAXAS BANCÁRIAS"/>
      <sheetName val="NOVO SISCAF"/>
      <sheetName val="Gráficos e Tabelas"/>
      <sheetName val="Resumo - Ajuste pelos UFs"/>
      <sheetName val="Resumo"/>
      <sheetName val="QUADRO_1"/>
      <sheetName val="QUADRO_2"/>
      <sheetName val="QUADRO_3"/>
      <sheetName val="QUADRO_4"/>
      <sheetName val="Simulação_de_%"/>
      <sheetName val="Estudos_-_Receita"/>
      <sheetName val="ANEXO_I"/>
      <sheetName val="ANEXO_II"/>
      <sheetName val="ANEXO_III_e_Anexo_IX"/>
      <sheetName val="Estudos_-_Quant__PF"/>
      <sheetName val="NOVOS_EGRESSOS"/>
      <sheetName val="ANEXO_IV"/>
      <sheetName val="ANEXO_V"/>
      <sheetName val="Estudos_-_Quant__PJ"/>
      <sheetName val="ANEXO_VI"/>
      <sheetName val="ANEXO_VII"/>
      <sheetName val="ANEXO_VIII"/>
      <sheetName val="ANEXO_X_Aporte_FA"/>
      <sheetName val="ANEXO_X_I_Repasse_FA"/>
      <sheetName val="ANEXO_XI_CSC_Total"/>
      <sheetName val="ANEXO_XI_I_CSC_RIA"/>
      <sheetName val="ANEXO_XI_II_CSC_Essencial"/>
      <sheetName val="ANEXO_XI_III_-_RIA_Enc__dContas"/>
      <sheetName val="ANEXO_XII"/>
      <sheetName val="XIII__TAXAS_BANCÁRIAS"/>
      <sheetName val="NOVO_SISCAF"/>
      <sheetName val="Gráficos_e_Tabelas"/>
      <sheetName val="Resumo_-_Ajuste_pelos_UFs"/>
      <sheetName val="Resumo.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/>
      <sheetData sheetId="16" refreshError="1"/>
      <sheetData sheetId="17" refreshError="1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 refreshError="1"/>
      <sheetData sheetId="27" refreshError="1"/>
      <sheetData sheetId="28" refreshError="1"/>
      <sheetData sheetId="29" refreshError="1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RM4"/>
      <sheetName val="Capa do Parecer"/>
      <sheetName val="Análise Geral"/>
      <sheetName val="Indicadores e Metas"/>
      <sheetName val="FORM.1"/>
      <sheetName val="FORM.2"/>
      <sheetName val="FORM.3"/>
      <sheetName val="FORM.4"/>
      <sheetName val="PARECER"/>
      <sheetName val="FORM.1(rascunho)"/>
      <sheetName val="Orientações Iniciais"/>
      <sheetName val="Mapa Estratégico e ODS"/>
      <sheetName val="Indicadores e Metas (2)"/>
      <sheetName val="Conferência"/>
      <sheetName val="IndicadoreseMetas"/>
      <sheetName val="FORM2"/>
      <sheetName val="Quadro Geral"/>
      <sheetName val="Quadro Geral (2)"/>
      <sheetName val="AnáliseGeral"/>
      <sheetName val="FORM1"/>
      <sheetName val="Anexo 1. Fontes e Aplicações"/>
      <sheetName val="FORM3"/>
      <sheetName val="Anexo 2. Limites Estratégicos"/>
      <sheetName val="Anexo 3. Elemento de Despesas"/>
      <sheetName val="AÇÕES ESTRATÉGICAS - DESCRIÇÃO "/>
      <sheetName val="Facultativo - Anexo 4 "/>
      <sheetName val="Resumo"/>
    </sheetNames>
    <sheetDataSet>
      <sheetData sheetId="0" refreshError="1"/>
      <sheetData sheetId="1" refreshError="1"/>
      <sheetData sheetId="2" refreshError="1"/>
      <sheetData sheetId="3">
        <row r="6">
          <cell r="F6">
            <v>0</v>
          </cell>
        </row>
        <row r="10">
          <cell r="F10">
            <v>0</v>
          </cell>
        </row>
        <row r="12">
          <cell r="F12">
            <v>0</v>
          </cell>
        </row>
        <row r="14">
          <cell r="F14">
            <v>0</v>
          </cell>
        </row>
        <row r="16">
          <cell r="F16">
            <v>0</v>
          </cell>
        </row>
        <row r="18">
          <cell r="F18">
            <v>0</v>
          </cell>
        </row>
        <row r="20">
          <cell r="F20">
            <v>0</v>
          </cell>
        </row>
        <row r="22">
          <cell r="F22">
            <v>0</v>
          </cell>
        </row>
        <row r="24">
          <cell r="F24">
            <v>0</v>
          </cell>
        </row>
        <row r="26">
          <cell r="F26">
            <v>0</v>
          </cell>
        </row>
        <row r="28">
          <cell r="F28">
            <v>0</v>
          </cell>
        </row>
        <row r="31">
          <cell r="F31">
            <v>0</v>
          </cell>
        </row>
        <row r="33">
          <cell r="F33">
            <v>0</v>
          </cell>
        </row>
        <row r="35">
          <cell r="F35">
            <v>0</v>
          </cell>
        </row>
        <row r="38">
          <cell r="F38">
            <v>0</v>
          </cell>
        </row>
        <row r="40">
          <cell r="F40">
            <v>0</v>
          </cell>
        </row>
        <row r="42">
          <cell r="F42">
            <v>0</v>
          </cell>
        </row>
        <row r="44">
          <cell r="F44">
            <v>0</v>
          </cell>
        </row>
        <row r="46">
          <cell r="F46">
            <v>10</v>
          </cell>
        </row>
        <row r="49">
          <cell r="F49">
            <v>0</v>
          </cell>
        </row>
        <row r="51">
          <cell r="E51">
            <v>0</v>
          </cell>
        </row>
        <row r="53">
          <cell r="F53">
            <v>150000</v>
          </cell>
        </row>
        <row r="55">
          <cell r="F55">
            <v>0</v>
          </cell>
        </row>
        <row r="57">
          <cell r="F57">
            <v>0</v>
          </cell>
        </row>
        <row r="58">
          <cell r="F58">
            <v>450000</v>
          </cell>
        </row>
        <row r="61">
          <cell r="F61">
            <v>0</v>
          </cell>
        </row>
        <row r="63">
          <cell r="F63">
            <v>0</v>
          </cell>
        </row>
        <row r="65">
          <cell r="F65">
            <v>0</v>
          </cell>
        </row>
        <row r="68">
          <cell r="F68">
            <v>0</v>
          </cell>
        </row>
        <row r="70">
          <cell r="F70">
            <v>0</v>
          </cell>
        </row>
        <row r="72">
          <cell r="E72">
            <v>0</v>
          </cell>
        </row>
        <row r="75">
          <cell r="F75">
            <v>0</v>
          </cell>
        </row>
        <row r="77">
          <cell r="F77">
            <v>0</v>
          </cell>
        </row>
        <row r="79">
          <cell r="F79">
            <v>0</v>
          </cell>
        </row>
        <row r="81">
          <cell r="F81">
            <v>0</v>
          </cell>
        </row>
        <row r="83">
          <cell r="F83">
            <v>0</v>
          </cell>
        </row>
        <row r="86">
          <cell r="F86">
            <v>0</v>
          </cell>
        </row>
        <row r="88">
          <cell r="F88">
            <v>0</v>
          </cell>
        </row>
        <row r="90">
          <cell r="F90">
            <v>0</v>
          </cell>
        </row>
        <row r="93">
          <cell r="F93">
            <v>0</v>
          </cell>
        </row>
        <row r="95">
          <cell r="F95">
            <v>5</v>
          </cell>
        </row>
        <row r="97">
          <cell r="F97">
            <v>0</v>
          </cell>
        </row>
        <row r="100">
          <cell r="F100">
            <v>0</v>
          </cell>
        </row>
        <row r="102">
          <cell r="F102">
            <v>0</v>
          </cell>
        </row>
      </sheetData>
      <sheetData sheetId="4">
        <row r="7">
          <cell r="F7">
            <v>10610152.68</v>
          </cell>
        </row>
        <row r="8">
          <cell r="F8">
            <v>10220993.389999999</v>
          </cell>
        </row>
        <row r="9">
          <cell r="F9">
            <v>5346724.3999999994</v>
          </cell>
        </row>
        <row r="10">
          <cell r="F10">
            <v>4853452.6399999997</v>
          </cell>
        </row>
        <row r="11">
          <cell r="F11">
            <v>3864411.6599999997</v>
          </cell>
        </row>
        <row r="12">
          <cell r="F12">
            <v>989040.98</v>
          </cell>
        </row>
        <row r="13">
          <cell r="F13">
            <v>493271.76</v>
          </cell>
        </row>
        <row r="14">
          <cell r="F14">
            <v>357589.7</v>
          </cell>
        </row>
        <row r="15">
          <cell r="F15">
            <v>135682.06</v>
          </cell>
        </row>
        <row r="16">
          <cell r="F16">
            <v>4407201.4800000004</v>
          </cell>
        </row>
        <row r="17">
          <cell r="F17">
            <v>467067.51</v>
          </cell>
        </row>
        <row r="18">
          <cell r="F18">
            <v>261775.24</v>
          </cell>
        </row>
        <row r="19">
          <cell r="F19">
            <v>127384.04999999999</v>
          </cell>
        </row>
        <row r="20">
          <cell r="F20">
            <v>0</v>
          </cell>
        </row>
        <row r="21">
          <cell r="F21">
            <v>0</v>
          </cell>
        </row>
        <row r="22">
          <cell r="F22">
            <v>0</v>
          </cell>
        </row>
        <row r="23">
          <cell r="F23">
            <v>0</v>
          </cell>
        </row>
        <row r="24">
          <cell r="F24">
            <v>10610152.68</v>
          </cell>
        </row>
        <row r="26">
          <cell r="F26">
            <v>9538546.4399999995</v>
          </cell>
        </row>
        <row r="27">
          <cell r="F27">
            <v>979550.45</v>
          </cell>
        </row>
        <row r="28">
          <cell r="F28">
            <v>0</v>
          </cell>
        </row>
        <row r="29">
          <cell r="F29">
            <v>8558995.9900000002</v>
          </cell>
        </row>
        <row r="30">
          <cell r="F30">
            <v>217058.38</v>
          </cell>
        </row>
        <row r="31">
          <cell r="F31">
            <v>774547.8600000001</v>
          </cell>
        </row>
        <row r="32">
          <cell r="F32">
            <v>80000</v>
          </cell>
        </row>
        <row r="33">
          <cell r="F33">
            <v>10610152.68</v>
          </cell>
        </row>
      </sheetData>
      <sheetData sheetId="5">
        <row r="6">
          <cell r="A6" t="str">
            <v>Assessoria de Comunicação (Ascom)</v>
          </cell>
          <cell r="B6" t="str">
            <v>A</v>
          </cell>
          <cell r="F6" t="str">
            <v>Fortalecer a imagem do CAU/MG e garantir a divulgação das informações da autarquia para a sociedade.</v>
          </cell>
          <cell r="G6" t="str">
            <v>Assegurar a eficácia no relacionamento e comunicação com a sociedade</v>
          </cell>
          <cell r="H6" t="str">
            <v>16 - Paz, justiça e instituições eficazes</v>
          </cell>
          <cell r="I6" t="str">
            <v>Acompanhamento da produção, desenvolvimento e distribuição de cartilhas e divulgação de campanhas; Demandas administrativas relativas a assessoria.</v>
          </cell>
          <cell r="M6">
            <v>405867.71038250002</v>
          </cell>
        </row>
        <row r="7">
          <cell r="A7" t="str">
            <v>Comissão Especial de Assistência Técnica para Habitação de Interesse Social (Cathis)</v>
          </cell>
          <cell r="B7" t="str">
            <v>A</v>
          </cell>
          <cell r="E7" t="str">
            <v>Manter e Desenvolver as Atividades da Comissão Especial de Assistência Técnica para Habitação de Interesse Social</v>
          </cell>
          <cell r="F7" t="str">
            <v>Cumprir as competências da Comissão conforme Regimento Interno e as ações previstas no seu Plano de Trabalho e no Plano de Ação do CAU/MG.</v>
          </cell>
          <cell r="G7" t="str">
            <v>Fomentar o acesso da sociedade à Arquitetura e Urbanismo</v>
          </cell>
          <cell r="H7" t="str">
            <v>11 - Cidades e comunidades sustentáveis</v>
          </cell>
          <cell r="I7" t="str">
            <v>Diretrizes e orientações elaboradas e revisadas voltadas para o aperfeiçoamento da política de assistência técnica para habitação de interesse social pública e gratuita e para o desenvolvimento profissional integrado às demandas habitacionais, urbanas e ambientais dos territórios; Demandas administrativas relativas à Comissão realizadas conforme previsões regimentais e pelos normativos do CAU.</v>
          </cell>
          <cell r="M7">
            <v>27999.999000000003</v>
          </cell>
        </row>
        <row r="8">
          <cell r="A8" t="str">
            <v>Colegiado das Entidades Estaduais de Arquitetos e Urbanistas do CAU/MG (CEAU)</v>
          </cell>
          <cell r="B8" t="str">
            <v>A</v>
          </cell>
          <cell r="E8" t="str">
            <v>Manter e Desenvolver as Atividades do Colegiado das Entidades Estaduais de Arquitetos e Urbanistas do CAU/MG</v>
          </cell>
          <cell r="F8" t="str">
            <v>Cumprir as competências do Colegiado conforme Regimento Interno e as ações previstas no seu Plano de Trabalho e no Plano de Ação do CAU/MG.</v>
          </cell>
          <cell r="G8" t="str">
            <v>Valorizar a Arquitetura e Urbanismo</v>
          </cell>
          <cell r="H8" t="str">
            <v>17 - Parcerias e meios de implementação</v>
          </cell>
          <cell r="I8" t="str">
            <v>Ações desenvolvidas voltadas à capacitação técnica, valorização profissional e conscientização da sociedade do papel do arquiteto e urbanista; Demandas administrativas relativas ao CEAU realizadas conforme previsões regimentais e pelos normativos do CAU.</v>
          </cell>
          <cell r="M8">
            <v>16000</v>
          </cell>
        </row>
        <row r="9">
          <cell r="A9" t="str">
            <v>Colegiado das Entidades Estaduais de Arquitetos e Urbanistas do CAU/MG (CEAU)</v>
          </cell>
          <cell r="B9" t="str">
            <v>P</v>
          </cell>
          <cell r="E9" t="str">
            <v>Edital de Patrocínio para Entidades de Arquitetos e Urbanistas</v>
          </cell>
          <cell r="F9" t="str">
            <v>Fortalecer a relação institucional com as entidades de arquitetos e urbanistas no sentido de fomentar o acesso da sociedade à arquitetura e urbanismo.</v>
          </cell>
          <cell r="G9" t="str">
            <v>Estimular o conhecimento, o uso de processos criativos e a difusão das melhores práticas em Arquitetura e Urbanismo</v>
          </cell>
          <cell r="H9" t="str">
            <v>16 - Paz, justiça e instituições eficazes</v>
          </cell>
          <cell r="I9" t="str">
            <v>Lançamento de Edital de Patrocínio e firmar convênios específicos com o objetivo de valorizar a Arquitetura e Urbanismo em Minas Gerais.</v>
          </cell>
          <cell r="M9">
            <v>100000</v>
          </cell>
        </row>
        <row r="10">
          <cell r="A10" t="str">
            <v>Comissão de Organização e Administração (COA)</v>
          </cell>
          <cell r="B10" t="str">
            <v>A</v>
          </cell>
          <cell r="E10" t="str">
            <v>Manter e Desenvolver as Atividades da Comissão de Organização e Administração</v>
          </cell>
          <cell r="F10" t="str">
            <v>Cumprir as competências da Comissão conforme Regimento Interno e as ações previstas no seu Plano de Trabalho e no Plano Estratégico do CAU/MG para o biênio 2019-2020.</v>
          </cell>
          <cell r="G10" t="str">
            <v>Aprimorar e inovar os processos e as ações</v>
          </cell>
          <cell r="H10" t="str">
            <v>16 - Paz, justiça e instituições eficazes</v>
          </cell>
          <cell r="I10" t="str">
            <v>Diretrizes e orientações elaboradas e revisadas voltadas para melhorias organizacionais, normativas e administrativas do CAU/MG; Demandas administrativas relativas à Comissão realizadas conforme previsões regimentais e pelos normativos do CAU.</v>
          </cell>
          <cell r="M10">
            <v>90935</v>
          </cell>
        </row>
        <row r="11">
          <cell r="A11" t="str">
            <v>Comissão de Ensino e Formação (CEF)</v>
          </cell>
          <cell r="B11" t="str">
            <v>A</v>
          </cell>
          <cell r="E11" t="str">
            <v>Manter e Desenvolver as Atividades da Comissão de Ensino e Formação</v>
          </cell>
          <cell r="F11" t="str">
            <v>Cumprir as competências da Comissão listadas no Regimento Interno e ações previstas no seu Plano de Trabalho e no Plano Estratégico do CAU/MG para o biênio 2019-2020.</v>
          </cell>
          <cell r="G11" t="str">
            <v>Influenciar as diretrizes do ensino de Arquitetura e Urbanismo e sua formação continuada</v>
          </cell>
          <cell r="H11" t="str">
            <v>04 - Educação de qualidade</v>
          </cell>
          <cell r="I11" t="str">
            <v>Diretrizes e orientações desenvolvidas para maior integração entre CAU/MG e as Instituições de Ensino Superior mineiras; Demandas administrativas relativas à Comissão realizadas conforme previsões regimentais e pelos normativos do CAU.</v>
          </cell>
          <cell r="M11">
            <v>92000</v>
          </cell>
        </row>
        <row r="12">
          <cell r="A12" t="str">
            <v>Comissão de Ética e Disciplina (CED)</v>
          </cell>
          <cell r="B12" t="str">
            <v>A</v>
          </cell>
          <cell r="E12" t="str">
            <v>Manter e Desenvolver as Atividades da Comissão de Ética e Disciplina</v>
          </cell>
          <cell r="F12" t="str">
            <v>Cumprir as competências da Comissão conforme Regimento Interno e as ações previstas no seu Plano de Trabalho e no Plano Estratégico do CAU/MG para o biênio 2019-2020.</v>
          </cell>
          <cell r="G12" t="str">
            <v>Promover o exercício ético e qualificado da profissão</v>
          </cell>
          <cell r="H12" t="str">
            <v>16 - Paz, justiça e instituições eficazes</v>
          </cell>
          <cell r="I12" t="str">
            <v>Diretrizes e orientações desenvolvidas e divulgadas para a ampliação da compreensão do Código de Ética no Estado de Minas Gerais; Demandas administrativas relativas à Comissão realizadas conforme previsões regimentais e pelos normativos do CAU.</v>
          </cell>
          <cell r="M12">
            <v>76000</v>
          </cell>
        </row>
        <row r="13">
          <cell r="A13" t="str">
            <v>Comissão de Exercício Profissional (CEP)</v>
          </cell>
          <cell r="B13" t="str">
            <v>A</v>
          </cell>
          <cell r="E13" t="str">
            <v>Manter e Desenvolver as Atividades da Comissão de Exercício Profissional</v>
          </cell>
          <cell r="F13" t="str">
            <v>Cumprir as competências da Comissão conforme Regimento Interno e as ações previstas no seu Plano de Trabalho e no Plano Estratégico do CAU/MG para o biênio 2019-2020.</v>
          </cell>
          <cell r="G13" t="str">
            <v>Tornar a fiscalização um vetor de melhoria do exercício da Arquitetura e Urbanismo</v>
          </cell>
          <cell r="H13" t="str">
            <v>11 - Cidades e comunidades sustentáveis</v>
          </cell>
          <cell r="I13" t="str">
            <v>Diretrizes e orientações  elaboradas e monitoradas para a fiscalização do CAU/MG; Demandas administrativas relativas à Comissão realizadas conforme previsões regimentais e pelos normativos do CAU.</v>
          </cell>
          <cell r="M13">
            <v>128000</v>
          </cell>
        </row>
        <row r="14">
          <cell r="A14" t="str">
            <v>Comissão de Planejamento e Finanças (CPFi)</v>
          </cell>
          <cell r="B14" t="str">
            <v>A</v>
          </cell>
          <cell r="E14" t="str">
            <v>Manter e Desenvolver as Atividades da Comissão de Planejamento e Finanças</v>
          </cell>
          <cell r="F14" t="str">
            <v>Cumprir as competências da Comissão conforme Regimento Interno e as ações previstas no seu Plano de Trabalho e no Plano Estratégico do CAU/MG para o biênio 2019-2020.</v>
          </cell>
          <cell r="G14" t="str">
            <v>Assegurar a sustentabilidade financeira</v>
          </cell>
          <cell r="H14" t="str">
            <v>16 - Paz, justiça e instituições eficazes</v>
          </cell>
          <cell r="I14" t="str">
            <v>Diretrizes e orientações elaboradas e revisadas voltadas para melhorias no planejamento das ações administrativas e financeiras do CAU/MG; Demandas administrativas relativas à Comissão realizadas conforme previsões regimentais e pelos normativos do CAU.</v>
          </cell>
          <cell r="M14">
            <v>44800</v>
          </cell>
        </row>
        <row r="15">
          <cell r="A15" t="str">
            <v>Comissão Especial de Patrimônio Cultural (CPC)</v>
          </cell>
          <cell r="B15" t="str">
            <v>A</v>
          </cell>
          <cell r="E15" t="str">
            <v>Manter e Desenvolver as Atividades da Comissão Especial de Patrimônio Cultural</v>
          </cell>
          <cell r="F15" t="str">
            <v>Cumprir as competências da Comissão conforme Regimento Interno e as ações previstas no seu Plano de Trabalho e no Plano de Ação Estratégica do CAU/MG para o biênio 2019-2020.</v>
          </cell>
          <cell r="G15" t="str">
            <v>Estimular a produção da Arquitetura e Urbanismo como política de Estado</v>
          </cell>
          <cell r="H15" t="str">
            <v>11 - Cidades e comunidades sustentáveis</v>
          </cell>
          <cell r="I15" t="str">
            <v>Diretrizes e orientações elaboradas e revisadas voltadas para a valorização e difusão do patrimônio cultural  e promoção da participação dos arquitetos e urbanistas na atuação direta e gestão do patrimônio cultural como política de Estado; Demandas administrativas relativas à Comissão realizadas conforme previsões regimentais e pelos normativos do CAU.</v>
          </cell>
          <cell r="M15">
            <v>65135</v>
          </cell>
        </row>
        <row r="16">
          <cell r="A16" t="str">
            <v>Comissão Especial de Política Urbana e Ambiental (CPUA)</v>
          </cell>
          <cell r="B16" t="str">
            <v>A</v>
          </cell>
          <cell r="E16" t="str">
            <v>Manter e Desenvolver as Atividades da Comissão Especial de Política Urbana e Ambiental</v>
          </cell>
          <cell r="F16" t="str">
            <v>Cumprir as competências da Comissão conforme Regimento Interno e as ações previstas no seu Plano de Trabalho e no Plano de Ação do CAU/MG.</v>
          </cell>
          <cell r="G16" t="str">
            <v>Garantir a participação dos Arquitetos e Urbanistas no planejamento territorial e na gestão urbana</v>
          </cell>
          <cell r="H16" t="str">
            <v>11 - Cidades e comunidades sustentáveis</v>
          </cell>
          <cell r="I16" t="str">
            <v>Diretrizes e orientações elaboradas e revisadas voltadas para o aperfeiçoamento da política urbana de municípios e estado e para o desenvolvimento profissional integrado às demandas relativas ao planejamento urbano e territorial; Demandas administrativas relativas à Comissão realizadas conforme previsões regimentais e pelos normativos do CAU.</v>
          </cell>
          <cell r="M16">
            <v>62582.68</v>
          </cell>
        </row>
        <row r="17">
          <cell r="A17" t="str">
            <v>Escritório Descentralizado Leste de Minas</v>
          </cell>
          <cell r="B17" t="str">
            <v>A</v>
          </cell>
          <cell r="E17" t="str">
            <v>Manter e Desenvolver as Atividades do Escritório Descentralizado Leste de Minas</v>
          </cell>
          <cell r="F17" t="str">
            <v>Cumprir a finalidade precípua do Conselho, garantindo a fiscalização do exercício profissional na Regional Leste de Minas.</v>
          </cell>
          <cell r="H17" t="str">
            <v>11 - Cidades e comunidades sustentáveis</v>
          </cell>
          <cell r="I17" t="str">
            <v>Desenvolvimento das ações de atendimento planejadas para a Regional.</v>
          </cell>
          <cell r="M17">
            <v>119491.66305</v>
          </cell>
        </row>
        <row r="18">
          <cell r="A18" t="str">
            <v>Escritório Descentralizado Norte Minas</v>
          </cell>
          <cell r="B18" t="str">
            <v>A</v>
          </cell>
          <cell r="E18" t="str">
            <v>Manter e Desenvolver as Atividades do Escritório Descentralizado Norte de Minas</v>
          </cell>
          <cell r="F18" t="str">
            <v>Cumprir a finalidade precípua do Conselho, garantindo a fiscalização do exercício profissional na Regional Norte de Minas.</v>
          </cell>
          <cell r="H18" t="str">
            <v>11 - Cidades e comunidades sustentáveis</v>
          </cell>
          <cell r="I18" t="str">
            <v>Desenvolvimento das ações de atendimento planejadas para a Regional.</v>
          </cell>
          <cell r="M18">
            <v>119978.3893</v>
          </cell>
        </row>
        <row r="19">
          <cell r="A19" t="str">
            <v>Escritório Descentralizado Sul de Minas</v>
          </cell>
          <cell r="B19" t="str">
            <v>A</v>
          </cell>
          <cell r="E19" t="str">
            <v>Manter e Desenvolver as Atividades do Escritório Descentralizado Sul de Minas</v>
          </cell>
          <cell r="F19" t="str">
            <v>Cumprir a finalidade precípua do Conselho, garantindo a fiscalização do exercício profissional na Regional Sul de Minas.</v>
          </cell>
          <cell r="H19" t="str">
            <v>11 - Cidades e comunidades sustentáveis</v>
          </cell>
          <cell r="I19" t="str">
            <v>Desenvolvimento das ações de atendimento planejadas para a Regional.</v>
          </cell>
          <cell r="M19">
            <v>103302.95505999999</v>
          </cell>
        </row>
        <row r="20">
          <cell r="A20" t="str">
            <v>Escritório Descentralizado Triângulo Mineiro e Alto Paranaíba</v>
          </cell>
          <cell r="B20" t="str">
            <v>A</v>
          </cell>
          <cell r="E20" t="str">
            <v>Manter e Desenvolver as Atividades do Escritório Descentralizado Triângulo Mineiro e Alto Paranaíba</v>
          </cell>
          <cell r="F20" t="str">
            <v>Cumprir a finalidade precípua do Conselho, garantindo a fiscalização do exercício profissional na Regional Triângulo Mineiro e Alto Paranaíba.</v>
          </cell>
          <cell r="H20" t="str">
            <v>11 - Cidades e comunidades sustentáveis</v>
          </cell>
          <cell r="I20" t="str">
            <v>Desenvolvimento das ações de atendimento planejadas para a Regional.</v>
          </cell>
          <cell r="M20">
            <v>139954.86141000001</v>
          </cell>
        </row>
        <row r="21">
          <cell r="A21" t="str">
            <v>Escritório Descentralizado Zona da Mata e Vertentes</v>
          </cell>
          <cell r="B21" t="str">
            <v>A</v>
          </cell>
          <cell r="E21" t="str">
            <v>Manter e Desenvolver as Atividades do Escritório Descentralizado Zona da Mata e Vertentes.</v>
          </cell>
          <cell r="F21" t="str">
            <v>Cumprir a finalidade precípua do Conselho, garantindo a fiscalização do exercício profissional na Regional Zona da Mata e Vertentes.</v>
          </cell>
          <cell r="H21" t="str">
            <v>11 - Cidades e comunidades sustentáveis</v>
          </cell>
          <cell r="I21" t="str">
            <v>Desenvolvimento das ações de atendimento planejadas para a Regional.</v>
          </cell>
          <cell r="M21">
            <v>77950.131818888884</v>
          </cell>
        </row>
        <row r="22">
          <cell r="A22" t="str">
            <v>Gerência Administrativa e Financeira (GAF)</v>
          </cell>
          <cell r="B22" t="str">
            <v>A</v>
          </cell>
          <cell r="E22" t="str">
            <v>Manter e Desenvolver as Atividades da Gerência Administrativa e Financeira</v>
          </cell>
          <cell r="F22" t="str">
            <v>Observar a Sustentabilidade Financeira do CAU/MG e acompanhar a execução orçamentária e financeira.</v>
          </cell>
          <cell r="G22" t="str">
            <v>Assegurar a sustentabilidade financeira</v>
          </cell>
          <cell r="H22" t="str">
            <v>16 - Paz, justiça e instituições eficazes</v>
          </cell>
          <cell r="I22" t="str">
            <v>Desenvolvimento pleno das rotinas administrativas e financeiras do CAU/MG; Garantia da sustentabilidade financeira do CAU/MG.</v>
          </cell>
          <cell r="M22">
            <v>2168042.236138056</v>
          </cell>
        </row>
        <row r="23">
          <cell r="A23" t="str">
            <v>Gerência Administrativa e Financeira (GAF)</v>
          </cell>
          <cell r="B23" t="str">
            <v>A</v>
          </cell>
          <cell r="E23" t="str">
            <v>Fundo de Apoio aos CAU/UF</v>
          </cell>
          <cell r="F23" t="str">
            <v>Assegurar a sustentabilidade financeira do Sistema do CAU, apoiando os CAU/UF básicos.</v>
          </cell>
          <cell r="G23" t="str">
            <v>Assegurar a sustentabilidade financeira</v>
          </cell>
          <cell r="H23" t="str">
            <v>16 - Paz, justiça e instituições eficazes</v>
          </cell>
          <cell r="I23" t="str">
            <v>Garantia da sustentabilidade do Fundo de Apoio do CAU.</v>
          </cell>
          <cell r="M23">
            <v>217058.38</v>
          </cell>
        </row>
        <row r="24">
          <cell r="A24" t="str">
            <v>Gerência Técnica e Fiscalização (Gertef) -  Coordenação de Fiscalização</v>
          </cell>
          <cell r="B24" t="str">
            <v>A</v>
          </cell>
          <cell r="E24" t="str">
            <v>Centro de Serviços Compartilhados (CSC) - Fiscalização</v>
          </cell>
          <cell r="F24" t="str">
            <v>Assegurar o funcionamento do Centro de Serviços Compartilhados e Fundo de Reserva CSC relacionadas à Fiscalização.</v>
          </cell>
          <cell r="G24" t="str">
            <v>Tornar a fiscalização um vetor de melhoria do exercício da Arquitetura e Urbanismo</v>
          </cell>
          <cell r="H24" t="str">
            <v>11 - Cidades e comunidades sustentáveis</v>
          </cell>
          <cell r="I24" t="str">
            <v>Garantia do funcionamento do CSC e dos demais Sistemas de Informação a ele vinculados.</v>
          </cell>
          <cell r="M24">
            <v>672962.27</v>
          </cell>
        </row>
        <row r="25">
          <cell r="A25" t="str">
            <v>Gerência Técnica e Fiscalização (Gertef) -  Coordenação Técnica</v>
          </cell>
          <cell r="B25" t="str">
            <v>A</v>
          </cell>
          <cell r="E25" t="str">
            <v>Centro de Serviços Compartilhados (CSC) - Atendimento</v>
          </cell>
          <cell r="F25" t="str">
            <v>Assegurar o funcionamento do Centro de Serviços Compartilhados e Fundo de Reserva CSC relacionadas ao Atendimento.</v>
          </cell>
          <cell r="G25" t="str">
            <v>Assegurar a eficácia no atendimento e no relacionamento com os Arquitetos e Urbanistas e a Sociedade</v>
          </cell>
          <cell r="H25" t="str">
            <v>16 - Paz, justiça e instituições eficazes</v>
          </cell>
          <cell r="I25" t="str">
            <v>Garantia do funcionamento do CSC e dos demais Sistemas de Informação a ele vinculados.</v>
          </cell>
          <cell r="M25">
            <v>101585.59</v>
          </cell>
        </row>
        <row r="26">
          <cell r="A26" t="str">
            <v>Gerência Administrativa e Financeira (GAF)</v>
          </cell>
          <cell r="B26" t="str">
            <v>A</v>
          </cell>
          <cell r="E26" t="str">
            <v>Reserva de Contingência</v>
          </cell>
          <cell r="F26" t="str">
            <v>Manter o Fundo para despesas não planejadas.</v>
          </cell>
          <cell r="G26" t="str">
            <v>Assegurar a sustentabilidade financeira</v>
          </cell>
          <cell r="H26" t="str">
            <v>16 - Paz, justiça e instituições eficazes</v>
          </cell>
          <cell r="I26" t="str">
            <v>Fomento de despesas extraordinárias do CAU/MG efetivado.</v>
          </cell>
          <cell r="M26">
            <v>80000</v>
          </cell>
        </row>
        <row r="27">
          <cell r="A27" t="str">
            <v>Gerência Especial de Planejamento e Gestão Estratégica (Geplan)</v>
          </cell>
          <cell r="B27" t="str">
            <v>A</v>
          </cell>
          <cell r="E27" t="str">
            <v>Manter e Desenvolver as Atividades da Gerência Especial de Planejamento e Gestão Estratégica</v>
          </cell>
          <cell r="F27" t="str">
            <v>Cumprir as atribuições da  Gerência Especial de Planejamento e Gestão Estratégica conforme atos administrativos do CAU/MG.</v>
          </cell>
          <cell r="G27" t="str">
            <v>Aprimorar e inovar os processos e as ações</v>
          </cell>
          <cell r="H27" t="str">
            <v>17 - Parcerias e meios de implementação</v>
          </cell>
          <cell r="I27" t="str">
            <v>Elaboração dos Planos de Ação; Termos de cooperação técnica com municípios e órgãos públicos; Apoio à Presidência; Acompanhamento dos Indicadores Estratégicos revisados; Elaboração e consolidação das propostas de Programação e Reprogramação Orçamentária; Elaboração e consolidação dos Relatórios de Gestão; Atualização do fluxo de trabalho de processos operacionais padrão (POP).</v>
          </cell>
          <cell r="M27">
            <v>359339.42867027776</v>
          </cell>
        </row>
        <row r="28">
          <cell r="A28" t="str">
            <v>Gerência Geral (Gergel)</v>
          </cell>
          <cell r="F28" t="str">
            <v>Promover a arquitetura e urbanismo em Minas Gerais através do contato e participação de profissionais e sociedade.</v>
          </cell>
          <cell r="G28" t="str">
            <v>Estimular o conhecimento, o uso de processos criativos e a difusão das melhores práticas em Arquitetura e Urbanismo</v>
          </cell>
          <cell r="H28" t="str">
            <v>17 - Parcerias e meios de implementação</v>
          </cell>
          <cell r="I28" t="str">
            <v>Realização de eventos de integração e de esclarecimentos para profissionais e sociedade sobre Arquitetura e Urbanismo.</v>
          </cell>
          <cell r="M28">
            <v>60921.56</v>
          </cell>
        </row>
        <row r="29">
          <cell r="A29" t="str">
            <v>Gerência Geral (Gergel)</v>
          </cell>
          <cell r="B29" t="str">
            <v>A</v>
          </cell>
          <cell r="F29" t="str">
            <v>Cumprir as atribuições da Gerência Geral conforme atos administrativos do CAU/MG.</v>
          </cell>
          <cell r="G29" t="str">
            <v>Construir cultura organizacional adequada à estratégia</v>
          </cell>
          <cell r="H29" t="str">
            <v>05 - Igualdade de gênero</v>
          </cell>
          <cell r="I29" t="str">
            <v>Integração das atividades realizadas pelas unidades administrativas do CAU/MG.</v>
          </cell>
          <cell r="M29">
            <v>297835.30526750005</v>
          </cell>
        </row>
        <row r="30">
          <cell r="A30" t="str">
            <v>Gerência Geral (Gergel)</v>
          </cell>
          <cell r="B30" t="str">
            <v>P</v>
          </cell>
          <cell r="E30" t="str">
            <v>Mudança e Adequações da nova Sede e escritórios descentralizados do CAU/MG</v>
          </cell>
          <cell r="F30" t="str">
            <v>Ocupar espaço físico qualificado e acessível à sociedade para cumprir a finalidade precípua da autarquia.</v>
          </cell>
          <cell r="G30" t="str">
            <v>Ter sistemas de informação e infraestrutura que viabilizem a gestão e o atendimento dos arquitetos e urbanistas e a sociedade</v>
          </cell>
          <cell r="H30" t="str">
            <v>16 - Paz, justiça e instituições eficazes</v>
          </cell>
          <cell r="I30" t="str">
            <v>Ocupação de nova sede que comporte com qualidade seu Quadro de Pessoal projetado, mais atividades e reuniões de seus órgãos colegiados, além de economia financeira com custeios de Sede.</v>
          </cell>
          <cell r="M30">
            <v>150000</v>
          </cell>
        </row>
        <row r="31">
          <cell r="A31" t="str">
            <v>Gerência Jurídica (Gerjur)</v>
          </cell>
          <cell r="B31" t="str">
            <v>A</v>
          </cell>
          <cell r="E31" t="str">
            <v>Manter e Desenvolver as Atividades da Gerência Jurídica</v>
          </cell>
          <cell r="F31" t="str">
            <v>Preservar a imagem jurídica do CAU/MG e observar a legalidade dos processos internos.</v>
          </cell>
          <cell r="G31" t="str">
            <v>Aprimorar e inovar os processos e as ações</v>
          </cell>
          <cell r="H31" t="str">
            <v>16 - Paz, justiça e instituições eficazes</v>
          </cell>
          <cell r="I31" t="str">
            <v>Ajuizamento e defesa em ações do CAU/MG na Justiça; Cumprimento dos expedientes de rotina atribuída à Gerência pelos atos normativos do CAU/MG.</v>
          </cell>
          <cell r="M31">
            <v>568925.20337999996</v>
          </cell>
        </row>
        <row r="32">
          <cell r="A32" t="str">
            <v>Gerência Técnica  de Fiscalização (Gertef) - Coordenação Técnica</v>
          </cell>
          <cell r="B32" t="str">
            <v>A</v>
          </cell>
          <cell r="F32" t="str">
            <v>Manter a regularidade dos registros, anotação de títulos e acervo do profissional.</v>
          </cell>
          <cell r="G32" t="str">
            <v>Assegurar a eficácia no atendimento e no relacionamento com os Arquitetos e Urbanistas e a Sociedade</v>
          </cell>
          <cell r="H32" t="str">
            <v>11 - Cidades e comunidades sustentáveis</v>
          </cell>
          <cell r="M32">
            <v>1515569.5165927778</v>
          </cell>
        </row>
        <row r="33">
          <cell r="A33" t="str">
            <v>Gerência Técnica  de Fiscalização (Gertef) - Coordenação Fiscalização</v>
          </cell>
          <cell r="B33" t="str">
            <v>A</v>
          </cell>
          <cell r="F33" t="str">
            <v>Cumprir a finalidade precípua do Conselho, garantindo a fiscalização do exercício profissional.</v>
          </cell>
          <cell r="G33" t="str">
            <v>Tornar a fiscalização um vetor de melhoria do exercício da Arquitetura e Urbanismo</v>
          </cell>
          <cell r="H33" t="str">
            <v>11 - Cidades e comunidades sustentáveis</v>
          </cell>
          <cell r="I33" t="str">
            <v>Planejamento e execução das ações de fiscalização.</v>
          </cell>
          <cell r="M33">
            <v>1249489.96</v>
          </cell>
        </row>
        <row r="34">
          <cell r="A34" t="str">
            <v>Gerência Técnica  de Fiscalização (Gertef) - Rotas</v>
          </cell>
          <cell r="B34" t="str">
            <v>A</v>
          </cell>
          <cell r="E34" t="str">
            <v>Fiscalização Itinerante / Rotas</v>
          </cell>
          <cell r="F34" t="str">
            <v>Promover a atuação itinerante do CAU/MG e mesmo as ações de fiscalização que envolvam uso de veículo.</v>
          </cell>
          <cell r="G34" t="str">
            <v>Tornar a fiscalização um vetor de melhoria do exercício da Arquitetura e Urbanismo</v>
          </cell>
          <cell r="H34" t="str">
            <v>11 - Cidades e comunidades sustentáveis</v>
          </cell>
          <cell r="I34" t="str">
            <v>Ampliação da atuação da Fiscalização Itinerante do CAU/MG, não apenas nas cidades onde há a presença dos fiscais, mas também em outros municípios mineiros.</v>
          </cell>
          <cell r="M34">
            <v>260000.00400000002</v>
          </cell>
        </row>
        <row r="35">
          <cell r="A35" t="str">
            <v>Presidência</v>
          </cell>
          <cell r="B35" t="str">
            <v>A</v>
          </cell>
          <cell r="E35" t="str">
            <v>Manter e Desenvolver as Atividades da Presidência e dos Conselheiros Federais</v>
          </cell>
          <cell r="F35" t="str">
            <v>Cumprir as competências dos órgãos colegiados conforme Regimento Interno e seu planejamento</v>
          </cell>
          <cell r="G35" t="str">
            <v>Construir cultura organizacional adequada à estratégia</v>
          </cell>
          <cell r="H35" t="str">
            <v>16 - Paz, justiça e instituições eficazes</v>
          </cell>
          <cell r="I35" t="str">
            <v>Representação oficial realizada pela Presidência do CAU/MG e de seus Conselheiros Federais nas reuniões dos órgãos colegiados do CAU/MG; Rotinas administrativas realizadas pela Presidência do CAU/MG.</v>
          </cell>
          <cell r="M35">
            <v>80000</v>
          </cell>
        </row>
        <row r="36">
          <cell r="A36" t="str">
            <v>Presidência</v>
          </cell>
          <cell r="B36" t="str">
            <v>A</v>
          </cell>
          <cell r="E36" t="str">
            <v>Manter e Desenvolver as Atividades de Comissões Temporárias</v>
          </cell>
          <cell r="F36" t="str">
            <v>Garantir a realização de reuniões e ações de Comissões Temporárias instituídas pelo Plenário para atender demandas específicas, conforme Regimento Interno.</v>
          </cell>
          <cell r="G36" t="str">
            <v>Aprimorar e inovar os processos e as ações</v>
          </cell>
          <cell r="H36" t="str">
            <v>16 - Paz, justiça e instituições eficazes</v>
          </cell>
          <cell r="I36" t="str">
            <v>Apresentação de relatório(s) conclusivo(s) dirigido(s) ao órgão proponente pela instituição das Comissões Temporárias, apresentados ao final dos trabalhos de resolução de demanda específica, publicando-os no sítio eletrônico do CAU/MG.</v>
          </cell>
          <cell r="M36">
            <v>42720</v>
          </cell>
        </row>
        <row r="37">
          <cell r="A37" t="str">
            <v>Presidência</v>
          </cell>
          <cell r="B37" t="str">
            <v>P</v>
          </cell>
          <cell r="E37" t="str">
            <v>Representação Institucional do CAU/MG II</v>
          </cell>
          <cell r="F37" t="str">
            <v>Garantir a representação de colaborador ou dirigente do CAU/MG no desenvolvimento de ações ligadas ao planejamento urbano e temáticas afins.</v>
          </cell>
          <cell r="G37" t="str">
            <v>Estimular a produção da Arquitetura e Urbanismo como política de Estado</v>
          </cell>
          <cell r="H37" t="str">
            <v>11 - Cidades e comunidades sustentáveis</v>
          </cell>
          <cell r="I37" t="str">
            <v>Ampliar a presença do CAU/MG nos debates de planejamento urbano e temáticas afins no estado.</v>
          </cell>
          <cell r="M37">
            <v>17047.269999999997</v>
          </cell>
        </row>
        <row r="38">
          <cell r="A38" t="str">
            <v>Presidência</v>
          </cell>
          <cell r="B38" t="str">
            <v>P</v>
          </cell>
          <cell r="E38" t="str">
            <v>Representação Institucional do CAU/MG I</v>
          </cell>
          <cell r="F38" t="str">
            <v>Garantir a representação de colaborador ou dirigente do CAU/MG no desenvolvimento de ações ligadas ao ensino, formação profissional e ao Código de Ética.</v>
          </cell>
          <cell r="G38" t="str">
            <v>Promover o exercício ético e qualificado da profissão</v>
          </cell>
          <cell r="H38" t="str">
            <v>16 - Paz, justiça e instituições eficazes</v>
          </cell>
          <cell r="I38" t="str">
            <v>Ampliar a presença do CAU/MG em Instituições de Ensino Superior (IES) mineiras e órgãos públicos municipais e do estado.</v>
          </cell>
          <cell r="M38">
            <v>28781.62</v>
          </cell>
        </row>
        <row r="39">
          <cell r="A39" t="str">
            <v>Presidência</v>
          </cell>
          <cell r="B39" t="str">
            <v>A</v>
          </cell>
          <cell r="E39" t="str">
            <v>Capacitações</v>
          </cell>
          <cell r="F39" t="str">
            <v>Garantir a capacitação de colaboradores e dirigentes, melhorando e ampliando a capacidade técnica desses agentes.</v>
          </cell>
          <cell r="G39" t="str">
            <v>Desenvolver competências de dirigentes e colaboradores</v>
          </cell>
          <cell r="H39" t="str">
            <v>08 - Trabalho decente e crescimento econômico</v>
          </cell>
          <cell r="I39" t="str">
            <v>Capacitação realizada de colaboradores e dirigentes.</v>
          </cell>
          <cell r="M39">
            <v>119283.17</v>
          </cell>
        </row>
        <row r="40">
          <cell r="A40" t="str">
            <v>Presidência</v>
          </cell>
          <cell r="B40" t="str">
            <v>P</v>
          </cell>
          <cell r="E40" t="str">
            <v>Edital de Patrocínio modalidade Patrimônio Cultural</v>
          </cell>
          <cell r="F40" t="str">
            <v>Fomentar atividades que promovam a arquitetura e urbanismo em Minas Gerais.</v>
          </cell>
          <cell r="G40" t="str">
            <v>Estimular o conhecimento, o uso de processos criativos e a difusão das melhores práticas em Arquitetura e Urbanismo</v>
          </cell>
          <cell r="H40" t="str">
            <v>17 - Parcerias e meios de implementação</v>
          </cell>
          <cell r="I40" t="str">
            <v>Lançamento de Edital de Patrocínio, e firmar convênios específicos com o objetivo de valorizar a Arquitetura e Urbanismo em Minas Gerais.</v>
          </cell>
          <cell r="M40">
            <v>150000</v>
          </cell>
        </row>
        <row r="41">
          <cell r="A41" t="str">
            <v>Presidência</v>
          </cell>
          <cell r="B41" t="str">
            <v>P</v>
          </cell>
          <cell r="E41" t="str">
            <v>Edital de Patrocínio - Assistência Técnica para Habitação de Interesse Social (Athis)</v>
          </cell>
          <cell r="F41" t="str">
            <v>Fomentar atividades que promovam a arquitetura e urbanismo em Minas Gerais no campo da Assistência Técnica para a Habitação de Interesse Social (Athis).</v>
          </cell>
          <cell r="G41" t="str">
            <v>Fomentar o acesso da sociedade à Arquitetura e Urbanismo</v>
          </cell>
          <cell r="H41" t="str">
            <v>11 - Cidades e comunidades sustentáveis</v>
          </cell>
          <cell r="I41" t="str">
            <v>Lançamento de Edital de Patrocínio, e firmar convênios específicos com o objetivo de valorizar a Arquitetura e Urbanismo em Minas Gerais.</v>
          </cell>
          <cell r="M41">
            <v>300000</v>
          </cell>
        </row>
        <row r="42">
          <cell r="A42" t="str">
            <v>Secretaria Geral</v>
          </cell>
          <cell r="B42" t="str">
            <v>A</v>
          </cell>
          <cell r="F42" t="str">
            <v>Cumprir as atribuições da Secretaria Geral conforme atos administrativos do CAU/MG.</v>
          </cell>
          <cell r="G42" t="str">
            <v>Aprimorar e inovar os processos e as ações</v>
          </cell>
          <cell r="H42" t="str">
            <v>16 - Paz, justiça e instituições eficazes</v>
          </cell>
          <cell r="I42" t="str">
            <v>Documentos e correspondências oficiais elaborados; gestão documental da Presidência realizada; cotação de preços realizada.</v>
          </cell>
          <cell r="M42">
            <v>327792.77593</v>
          </cell>
        </row>
        <row r="43">
          <cell r="A43" t="str">
            <v>Presidência</v>
          </cell>
          <cell r="B43" t="str">
            <v>P</v>
          </cell>
          <cell r="E43" t="str">
            <v>Edital de Patrocínio Modalidade Política Urbana</v>
          </cell>
          <cell r="F43" t="str">
            <v xml:space="preserve">Fomentar atividades no campo da Política Urbana e Ambiental </v>
          </cell>
          <cell r="G43" t="str">
            <v>Estimular o conhecimento, o uso de processos criativos e a difusão das melhores práticas em Arquitetura e Urbanismo</v>
          </cell>
          <cell r="H43" t="str">
            <v>11 - Cidades e comunidades sustentáveis</v>
          </cell>
          <cell r="I43" t="str">
            <v xml:space="preserve">Lançamento de Edital e Premiação dos trabalhos que promovam a Arquitetura e Urbanismo no campo da Política Urbana e Ambiental
</v>
          </cell>
          <cell r="M43">
            <v>150000</v>
          </cell>
        </row>
        <row r="44">
          <cell r="A44" t="str">
            <v>Presidência</v>
          </cell>
          <cell r="B44" t="str">
            <v>P</v>
          </cell>
          <cell r="E44" t="str">
            <v>Edital de Apoio Institucional</v>
          </cell>
          <cell r="F44" t="str">
            <v>Incentivar iniciativas diversas relacionadas ao Exercício da Arquitetura e Urbanismo</v>
          </cell>
          <cell r="G44" t="str">
            <v>Estimular o conhecimento, o uso de processos criativos e a difusão das melhores práticas em Arquitetura e Urbanismo</v>
          </cell>
          <cell r="H44" t="str">
            <v>17 - Parcerias e meios de implementação</v>
          </cell>
          <cell r="I44" t="str">
            <v>Apoio Institucional com repasse financeiro como incentivo a iniciativas diversas relacionadas ao Exercício da Arquitetura e Urbanismo</v>
          </cell>
          <cell r="M44">
            <v>22800</v>
          </cell>
        </row>
      </sheetData>
      <sheetData sheetId="6">
        <row r="4">
          <cell r="E4">
            <v>10220993.389999999</v>
          </cell>
          <cell r="L4">
            <v>5729599.940876388</v>
          </cell>
        </row>
        <row r="5">
          <cell r="E5">
            <v>0</v>
          </cell>
          <cell r="L5">
            <v>981248.02</v>
          </cell>
        </row>
        <row r="6">
          <cell r="E6">
            <v>10220993.389999999</v>
          </cell>
          <cell r="L6">
            <v>10610152.68</v>
          </cell>
        </row>
        <row r="7">
          <cell r="E7">
            <v>217058.38</v>
          </cell>
        </row>
        <row r="8">
          <cell r="E8">
            <v>10003935.009999998</v>
          </cell>
        </row>
        <row r="11">
          <cell r="E11">
            <v>2310452.2340000002</v>
          </cell>
          <cell r="L11">
            <v>4748351.9208763875</v>
          </cell>
        </row>
        <row r="12">
          <cell r="E12">
            <v>0.23095434263521877</v>
          </cell>
          <cell r="L12">
            <v>0.44752908502692607</v>
          </cell>
        </row>
        <row r="13">
          <cell r="E13">
            <v>1617155.1065927779</v>
          </cell>
          <cell r="L13">
            <v>119283.17</v>
          </cell>
        </row>
        <row r="14">
          <cell r="E14">
            <v>0.16165190047478908</v>
          </cell>
          <cell r="L14">
            <v>2.081876068676353E-2</v>
          </cell>
        </row>
        <row r="15">
          <cell r="E15">
            <v>966545.71102138888</v>
          </cell>
        </row>
        <row r="16">
          <cell r="E16">
            <v>9.6616552392156038E-2</v>
          </cell>
        </row>
        <row r="17">
          <cell r="E17">
            <v>422800</v>
          </cell>
        </row>
        <row r="18">
          <cell r="E18">
            <v>4.2263369321908467E-2</v>
          </cell>
        </row>
        <row r="19">
          <cell r="E19">
            <v>2839979.6790016666</v>
          </cell>
        </row>
        <row r="20">
          <cell r="E20">
            <v>0.28388625837361042</v>
          </cell>
        </row>
        <row r="21">
          <cell r="E21">
            <v>300000</v>
          </cell>
        </row>
        <row r="22">
          <cell r="E22">
            <v>2.9988199613463908E-2</v>
          </cell>
        </row>
        <row r="23">
          <cell r="E23">
            <v>80000</v>
          </cell>
        </row>
        <row r="24">
          <cell r="E24">
            <v>7.9968532302570425E-3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acultativo - Anexo 4 "/>
      <sheetName val="AÇÕES ESTRATÉGICAS - DESCRIÇÃO "/>
    </sheetNames>
    <sheetDataSet>
      <sheetData sheetId="0"/>
      <sheetData sheetId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gras de Descontos - PF e PJ"/>
      <sheetName val="PF e PJ - com desconto"/>
      <sheetName val="Quadro 1 - AÇÕES ESTRATÉGICAS"/>
      <sheetName val="Quadro 2"/>
      <sheetName val="Quadro 3"/>
      <sheetName val="Quadro 4"/>
      <sheetName val="Quadros 5 6 7"/>
      <sheetName val="Anexo IV- Qde e Valor 100%"/>
      <sheetName val="Anexo III- Qde Prof_Empr_RRT"/>
      <sheetName val="Anexo V-Resumo Valor 80% "/>
      <sheetName val="Alterações ou Resumo do CAU_UF"/>
      <sheetName val="Anexo VI-Repasse Fundo de Apoio"/>
      <sheetName val="Anexo VI.I-Aporte do FA"/>
      <sheetName val="Anexo VII- CSC - SERV."/>
      <sheetName val="Anexo VII.I-CSC-Teleatendimento"/>
      <sheetName val="Anexo VII.II-CSC -ESSENCIAIS"/>
      <sheetName val="Anexo VII.III- SISCAF"/>
      <sheetName val="GERAL_CSC"/>
      <sheetName val=" Anexo VIII-TARIFAS BANCÁRIAS"/>
      <sheetName val="Anexo X.I-Projeções (80 e 100)"/>
      <sheetName val="PF - Projeção"/>
      <sheetName val="Anexo X.II-Anuidades PF"/>
      <sheetName val="PJ - Projeção"/>
      <sheetName val="RRT"/>
      <sheetName val="Anexo X.III- Anuidades PJ"/>
      <sheetName val="Anexo X.IV- RRT "/>
      <sheetName val="Taxas e Multas"/>
      <sheetName val="Anexo X.V-Taxas e Multas"/>
      <sheetName val="Estudos-Percentuais"/>
      <sheetName val="Exerc.Anteriores PF-PJ"/>
      <sheetName val="PASSAGENS_2022"/>
      <sheetName val="Arrecadação_Aportes "/>
      <sheetName val="APRESENTAÇÃO  2022"/>
      <sheetName val="Aporte_Arrecadação(2)"/>
      <sheetName val="ANEXO XI.I"/>
      <sheetName val="EMPRESAS"/>
      <sheetName val="CSC_TAQ e Telefoni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4">
          <cell r="A4" t="str">
            <v>AC</v>
          </cell>
          <cell r="B4">
            <v>133747.57999999999</v>
          </cell>
          <cell r="C4">
            <v>28680.300000000003</v>
          </cell>
          <cell r="D4">
            <v>162427.88</v>
          </cell>
          <cell r="E4">
            <v>173779.93599999999</v>
          </cell>
          <cell r="F4">
            <v>28680.296000000002</v>
          </cell>
          <cell r="G4">
            <v>202460.23199999999</v>
          </cell>
          <cell r="H4">
            <v>23984.199999999997</v>
          </cell>
          <cell r="I4">
            <v>7609.2600000000039</v>
          </cell>
          <cell r="J4">
            <v>31593.46</v>
          </cell>
          <cell r="K4">
            <v>26559.703999999998</v>
          </cell>
          <cell r="L4">
            <v>7609.2720000000008</v>
          </cell>
          <cell r="M4">
            <v>34168.975999999995</v>
          </cell>
          <cell r="N4">
            <v>206165.16</v>
          </cell>
          <cell r="O4">
            <v>235854.82</v>
          </cell>
          <cell r="P4">
            <v>17772.46</v>
          </cell>
          <cell r="Q4">
            <v>24707.91</v>
          </cell>
          <cell r="R4">
            <v>417958.96</v>
          </cell>
          <cell r="S4">
            <v>497191.93799999997</v>
          </cell>
        </row>
        <row r="5">
          <cell r="A5" t="str">
            <v>AM</v>
          </cell>
          <cell r="B5">
            <v>416901.95999999996</v>
          </cell>
          <cell r="C5">
            <v>121138.21</v>
          </cell>
          <cell r="D5">
            <v>538040.16999999993</v>
          </cell>
          <cell r="E5">
            <v>571370.08000000007</v>
          </cell>
          <cell r="F5">
            <v>121138.20800000001</v>
          </cell>
          <cell r="G5">
            <v>692508.28800000006</v>
          </cell>
          <cell r="H5">
            <v>36262.19</v>
          </cell>
          <cell r="I5">
            <v>21504.720000000001</v>
          </cell>
          <cell r="J5">
            <v>57766.91</v>
          </cell>
          <cell r="K5">
            <v>46580.504000000001</v>
          </cell>
          <cell r="L5">
            <v>21504.728000000003</v>
          </cell>
          <cell r="M5">
            <v>68085.232000000004</v>
          </cell>
          <cell r="N5">
            <v>469924.92</v>
          </cell>
          <cell r="O5">
            <v>580459.14</v>
          </cell>
          <cell r="P5">
            <v>56137.91</v>
          </cell>
          <cell r="Q5">
            <v>67052.63</v>
          </cell>
          <cell r="R5">
            <v>1121869.9099999999</v>
          </cell>
          <cell r="S5">
            <v>1408105.29</v>
          </cell>
        </row>
        <row r="6">
          <cell r="A6" t="str">
            <v>AP</v>
          </cell>
          <cell r="B6">
            <v>149612.31</v>
          </cell>
          <cell r="C6">
            <v>40871.720000000016</v>
          </cell>
          <cell r="D6">
            <v>190484.03000000003</v>
          </cell>
          <cell r="E6">
            <v>199437.94400000002</v>
          </cell>
          <cell r="F6">
            <v>40871.728000000003</v>
          </cell>
          <cell r="G6">
            <v>240309.67200000002</v>
          </cell>
          <cell r="H6">
            <v>25154.1</v>
          </cell>
          <cell r="I6">
            <v>22426.179999999997</v>
          </cell>
          <cell r="J6">
            <v>47580.28</v>
          </cell>
          <cell r="K6">
            <v>33169.32</v>
          </cell>
          <cell r="L6">
            <v>22426.176000000003</v>
          </cell>
          <cell r="M6">
            <v>55595.495999999999</v>
          </cell>
          <cell r="N6">
            <v>259685.04</v>
          </cell>
          <cell r="O6">
            <v>297156.28999999998</v>
          </cell>
          <cell r="P6">
            <v>21749.19</v>
          </cell>
          <cell r="Q6">
            <v>29653.07</v>
          </cell>
          <cell r="R6">
            <v>519498.54000000004</v>
          </cell>
          <cell r="S6">
            <v>622714.52799999993</v>
          </cell>
        </row>
        <row r="7">
          <cell r="A7" t="str">
            <v>PA</v>
          </cell>
          <cell r="B7">
            <v>496336.06</v>
          </cell>
          <cell r="C7">
            <v>288818.38</v>
          </cell>
          <cell r="D7">
            <v>785154.44</v>
          </cell>
          <cell r="E7">
            <v>631256.57600000012</v>
          </cell>
          <cell r="F7">
            <v>288818.38400000002</v>
          </cell>
          <cell r="G7">
            <v>920074.9600000002</v>
          </cell>
          <cell r="H7">
            <v>43801.729999999996</v>
          </cell>
          <cell r="I7">
            <v>30925.570000000007</v>
          </cell>
          <cell r="J7">
            <v>74727.3</v>
          </cell>
          <cell r="K7">
            <v>51412.072</v>
          </cell>
          <cell r="L7">
            <v>30925.567999999999</v>
          </cell>
          <cell r="M7">
            <v>82337.64</v>
          </cell>
          <cell r="N7">
            <v>630798</v>
          </cell>
          <cell r="O7">
            <v>718127.7</v>
          </cell>
          <cell r="P7">
            <v>67638.45</v>
          </cell>
          <cell r="Q7">
            <v>77424.31</v>
          </cell>
          <cell r="R7">
            <v>1558318.19</v>
          </cell>
          <cell r="S7">
            <v>1797964.6100000003</v>
          </cell>
        </row>
        <row r="8">
          <cell r="A8" t="str">
            <v>RO</v>
          </cell>
          <cell r="B8">
            <v>297526.93</v>
          </cell>
          <cell r="C8">
            <v>50792.11</v>
          </cell>
          <cell r="D8">
            <v>348319.04</v>
          </cell>
          <cell r="E8">
            <v>376617.67199999996</v>
          </cell>
          <cell r="F8">
            <v>50792.112000000001</v>
          </cell>
          <cell r="G8">
            <v>427409.78399999999</v>
          </cell>
          <cell r="H8">
            <v>39008.199999999997</v>
          </cell>
          <cell r="I8">
            <v>14584.260000000002</v>
          </cell>
          <cell r="J8">
            <v>53592.46</v>
          </cell>
          <cell r="K8">
            <v>41183.200000000004</v>
          </cell>
          <cell r="L8">
            <v>14584.256000000001</v>
          </cell>
          <cell r="M8">
            <v>55767.456000000006</v>
          </cell>
          <cell r="N8">
            <v>824974.08</v>
          </cell>
          <cell r="O8">
            <v>953030.09</v>
          </cell>
          <cell r="P8">
            <v>48087.68</v>
          </cell>
          <cell r="Q8">
            <v>64629.33</v>
          </cell>
          <cell r="R8">
            <v>1274973.26</v>
          </cell>
          <cell r="S8">
            <v>1500836.6600000001</v>
          </cell>
        </row>
        <row r="9">
          <cell r="A9" t="str">
            <v>RR</v>
          </cell>
          <cell r="B9">
            <v>48985.880000000005</v>
          </cell>
          <cell r="C9">
            <v>10597.97</v>
          </cell>
          <cell r="D9">
            <v>59583.850000000006</v>
          </cell>
          <cell r="E9">
            <v>58052.096000000012</v>
          </cell>
          <cell r="F9">
            <v>10597.968000000001</v>
          </cell>
          <cell r="G9">
            <v>68650.064000000013</v>
          </cell>
          <cell r="H9">
            <v>7966.4699999999993</v>
          </cell>
          <cell r="I9">
            <v>4434.5599999999995</v>
          </cell>
          <cell r="J9">
            <v>12401.029999999999</v>
          </cell>
          <cell r="K9">
            <v>8061.8640000000014</v>
          </cell>
          <cell r="L9">
            <v>4434.5600000000004</v>
          </cell>
          <cell r="M9">
            <v>12496.424000000003</v>
          </cell>
          <cell r="N9">
            <v>98576.88</v>
          </cell>
          <cell r="O9">
            <v>109875.1</v>
          </cell>
          <cell r="P9">
            <v>5830.72</v>
          </cell>
          <cell r="Q9">
            <v>7640.86</v>
          </cell>
          <cell r="R9">
            <v>176392.48</v>
          </cell>
          <cell r="S9">
            <v>198662.448</v>
          </cell>
        </row>
        <row r="10">
          <cell r="A10" t="str">
            <v>TO</v>
          </cell>
          <cell r="B10">
            <v>184562.88</v>
          </cell>
          <cell r="C10">
            <v>57922.269999999982</v>
          </cell>
          <cell r="D10">
            <v>242485.15</v>
          </cell>
          <cell r="E10">
            <v>233109.96000000008</v>
          </cell>
          <cell r="F10">
            <v>33368.248</v>
          </cell>
          <cell r="G10">
            <v>266478.2080000001</v>
          </cell>
          <cell r="H10">
            <v>28268.52</v>
          </cell>
          <cell r="I10">
            <v>15518.019999999997</v>
          </cell>
          <cell r="J10">
            <v>43786.539999999994</v>
          </cell>
          <cell r="K10">
            <v>29739.488000000001</v>
          </cell>
          <cell r="L10">
            <v>15518.023999999999</v>
          </cell>
          <cell r="M10">
            <v>45257.512000000002</v>
          </cell>
          <cell r="N10">
            <v>425259.72</v>
          </cell>
          <cell r="O10">
            <v>478376.6</v>
          </cell>
          <cell r="P10">
            <v>30867.9</v>
          </cell>
          <cell r="Q10">
            <v>44505.71</v>
          </cell>
          <cell r="R10">
            <v>742399.30999999994</v>
          </cell>
          <cell r="S10">
            <v>834618.03</v>
          </cell>
        </row>
        <row r="11">
          <cell r="A11" t="str">
            <v>Soma (N)</v>
          </cell>
          <cell r="B11">
            <v>1727673.5999999996</v>
          </cell>
          <cell r="C11">
            <v>598820.96000000008</v>
          </cell>
          <cell r="D11">
            <v>2326494.56</v>
          </cell>
          <cell r="E11">
            <v>2243624.2640000004</v>
          </cell>
          <cell r="F11">
            <v>574266.94400000002</v>
          </cell>
          <cell r="G11">
            <v>2817891.2080000001</v>
          </cell>
          <cell r="H11">
            <v>204445.40999999997</v>
          </cell>
          <cell r="I11">
            <v>117002.57</v>
          </cell>
          <cell r="J11">
            <v>321447.98000000004</v>
          </cell>
          <cell r="K11">
            <v>236706.152</v>
          </cell>
          <cell r="L11">
            <v>117002.584</v>
          </cell>
          <cell r="M11">
            <v>353708.73599999998</v>
          </cell>
          <cell r="N11">
            <v>2915383.8</v>
          </cell>
          <cell r="O11">
            <v>3372879.74</v>
          </cell>
          <cell r="P11">
            <v>248084.31</v>
          </cell>
          <cell r="Q11">
            <v>315613.82</v>
          </cell>
          <cell r="R11">
            <v>5811410.6499999994</v>
          </cell>
          <cell r="S11">
            <v>6860093.5040000007</v>
          </cell>
        </row>
        <row r="12">
          <cell r="A12" t="str">
            <v>AL</v>
          </cell>
          <cell r="B12">
            <v>449510.76</v>
          </cell>
          <cell r="C12">
            <v>134760.29999999999</v>
          </cell>
          <cell r="D12">
            <v>584271.06000000006</v>
          </cell>
          <cell r="E12">
            <v>529644.17599999998</v>
          </cell>
          <cell r="F12">
            <v>119850.66399999999</v>
          </cell>
          <cell r="G12">
            <v>649494.84</v>
          </cell>
          <cell r="H12">
            <v>24673.53</v>
          </cell>
          <cell r="I12">
            <v>19201.43</v>
          </cell>
          <cell r="J12">
            <v>43874.96</v>
          </cell>
          <cell r="K12">
            <v>28274.615999999998</v>
          </cell>
          <cell r="L12">
            <v>19201.423999999999</v>
          </cell>
          <cell r="M12">
            <v>47476.039999999994</v>
          </cell>
          <cell r="N12">
            <v>557139.6</v>
          </cell>
          <cell r="O12">
            <v>623231.63</v>
          </cell>
          <cell r="P12">
            <v>65651.72</v>
          </cell>
          <cell r="Q12">
            <v>85690.17</v>
          </cell>
          <cell r="R12">
            <v>1250937.3400000001</v>
          </cell>
          <cell r="S12">
            <v>1405892.68</v>
          </cell>
        </row>
        <row r="13">
          <cell r="A13" t="str">
            <v>BA</v>
          </cell>
          <cell r="B13">
            <v>1308962.26</v>
          </cell>
          <cell r="C13">
            <v>294898.40000000002</v>
          </cell>
          <cell r="D13">
            <v>1603860.6600000001</v>
          </cell>
          <cell r="E13">
            <v>1635572.3840000003</v>
          </cell>
          <cell r="F13">
            <v>294898.40000000002</v>
          </cell>
          <cell r="G13">
            <v>1930470.7840000005</v>
          </cell>
          <cell r="H13">
            <v>180090.81</v>
          </cell>
          <cell r="I13">
            <v>80935.03</v>
          </cell>
          <cell r="J13">
            <v>261025.84</v>
          </cell>
          <cell r="K13">
            <v>190196.36800000002</v>
          </cell>
          <cell r="L13">
            <v>80935.024000000005</v>
          </cell>
          <cell r="M13">
            <v>271131.39199999999</v>
          </cell>
          <cell r="N13">
            <v>1401938.76</v>
          </cell>
          <cell r="O13">
            <v>1581889.68</v>
          </cell>
          <cell r="P13">
            <v>146252.78</v>
          </cell>
          <cell r="Q13">
            <v>190281.52</v>
          </cell>
          <cell r="R13">
            <v>3413078.04</v>
          </cell>
          <cell r="S13">
            <v>3973773.3760000006</v>
          </cell>
        </row>
        <row r="14">
          <cell r="A14" t="str">
            <v>CE</v>
          </cell>
          <cell r="B14">
            <v>819993.89</v>
          </cell>
          <cell r="C14">
            <v>168626.55</v>
          </cell>
          <cell r="D14">
            <v>988620.44</v>
          </cell>
          <cell r="E14">
            <v>1073890.6000000001</v>
          </cell>
          <cell r="F14">
            <v>168626.54399999999</v>
          </cell>
          <cell r="G14">
            <v>1242517.1440000001</v>
          </cell>
          <cell r="H14">
            <v>81064.950000000012</v>
          </cell>
          <cell r="I14">
            <v>29076.74</v>
          </cell>
          <cell r="J14">
            <v>110141.69000000002</v>
          </cell>
          <cell r="K14">
            <v>95297.712</v>
          </cell>
          <cell r="L14">
            <v>29076.736000000001</v>
          </cell>
          <cell r="M14">
            <v>124374.448</v>
          </cell>
          <cell r="N14">
            <v>909916.32</v>
          </cell>
          <cell r="O14">
            <v>1034072.71</v>
          </cell>
          <cell r="P14">
            <v>84491.25</v>
          </cell>
          <cell r="Q14">
            <v>107937.7</v>
          </cell>
          <cell r="R14">
            <v>2093169.6999999997</v>
          </cell>
          <cell r="S14">
            <v>2508902.0020000003</v>
          </cell>
        </row>
        <row r="15">
          <cell r="A15" t="str">
            <v>MA</v>
          </cell>
          <cell r="B15">
            <v>390022.12</v>
          </cell>
          <cell r="C15">
            <v>104363.14000000001</v>
          </cell>
          <cell r="D15">
            <v>494385.26</v>
          </cell>
          <cell r="E15">
            <v>511040.36800000002</v>
          </cell>
          <cell r="F15">
            <v>104363.144</v>
          </cell>
          <cell r="G15">
            <v>615403.51199999999</v>
          </cell>
          <cell r="H15">
            <v>38619.230000000003</v>
          </cell>
          <cell r="I15">
            <v>37561.279999999999</v>
          </cell>
          <cell r="J15">
            <v>76180.510000000009</v>
          </cell>
          <cell r="K15">
            <v>41637.815999999999</v>
          </cell>
          <cell r="L15">
            <v>37561.279999999999</v>
          </cell>
          <cell r="M15">
            <v>79199.09599999999</v>
          </cell>
          <cell r="N15">
            <v>418285.68</v>
          </cell>
          <cell r="O15">
            <v>479848.53</v>
          </cell>
          <cell r="P15">
            <v>44225.89</v>
          </cell>
          <cell r="Q15">
            <v>52850.3</v>
          </cell>
          <cell r="R15">
            <v>1033077.34</v>
          </cell>
          <cell r="S15">
            <v>1227301.4380000001</v>
          </cell>
        </row>
        <row r="16">
          <cell r="A16" t="str">
            <v>PB</v>
          </cell>
          <cell r="B16">
            <v>603577.42999999993</v>
          </cell>
          <cell r="C16">
            <v>168712.42</v>
          </cell>
          <cell r="D16">
            <v>772289.85</v>
          </cell>
          <cell r="E16">
            <v>779545.16800000006</v>
          </cell>
          <cell r="F16">
            <v>158167.88800000001</v>
          </cell>
          <cell r="G16">
            <v>937713.0560000001</v>
          </cell>
          <cell r="H16">
            <v>58794.570000000007</v>
          </cell>
          <cell r="I16">
            <v>34004.050000000003</v>
          </cell>
          <cell r="J16">
            <v>92798.62000000001</v>
          </cell>
          <cell r="K16">
            <v>67108.960000000006</v>
          </cell>
          <cell r="L16">
            <v>26325.712</v>
          </cell>
          <cell r="M16">
            <v>93434.672000000006</v>
          </cell>
          <cell r="N16">
            <v>740737.08</v>
          </cell>
          <cell r="O16">
            <v>832331.99</v>
          </cell>
          <cell r="P16">
            <v>70990.320000000007</v>
          </cell>
          <cell r="Q16">
            <v>102491.38</v>
          </cell>
          <cell r="R16">
            <v>1676815.8699999999</v>
          </cell>
          <cell r="S16">
            <v>1965971.0980000002</v>
          </cell>
        </row>
        <row r="17">
          <cell r="A17" t="str">
            <v>PE</v>
          </cell>
          <cell r="B17">
            <v>1219395.81</v>
          </cell>
          <cell r="C17">
            <v>413684.7</v>
          </cell>
          <cell r="D17">
            <v>1633080.51</v>
          </cell>
          <cell r="E17">
            <v>1465865.0480000004</v>
          </cell>
          <cell r="F17">
            <v>195462.53600000002</v>
          </cell>
          <cell r="G17">
            <v>1661327.5840000005</v>
          </cell>
          <cell r="H17">
            <v>93121.03</v>
          </cell>
          <cell r="I17">
            <v>35145.509999999995</v>
          </cell>
          <cell r="J17">
            <v>128266.54</v>
          </cell>
          <cell r="K17">
            <v>118013.40800000001</v>
          </cell>
          <cell r="L17">
            <v>26716.376000000004</v>
          </cell>
          <cell r="M17">
            <v>144729.78400000001</v>
          </cell>
          <cell r="N17">
            <v>1399666.32</v>
          </cell>
          <cell r="O17">
            <v>1582322.6</v>
          </cell>
          <cell r="P17">
            <v>140018.53</v>
          </cell>
          <cell r="Q17">
            <v>186360.9</v>
          </cell>
          <cell r="R17">
            <v>3301031.9</v>
          </cell>
          <cell r="S17">
            <v>3574740.8680000002</v>
          </cell>
        </row>
        <row r="18">
          <cell r="A18" t="str">
            <v>PI</v>
          </cell>
          <cell r="B18">
            <v>324066.94</v>
          </cell>
          <cell r="C18">
            <v>155816.95000000001</v>
          </cell>
          <cell r="D18">
            <v>479883.89</v>
          </cell>
          <cell r="E18">
            <v>441365.21600000001</v>
          </cell>
          <cell r="F18">
            <v>55796.368000000009</v>
          </cell>
          <cell r="G18">
            <v>497161.58400000003</v>
          </cell>
          <cell r="H18">
            <v>49333.77</v>
          </cell>
          <cell r="I18">
            <v>37917.290000000008</v>
          </cell>
          <cell r="J18">
            <v>87251.06</v>
          </cell>
          <cell r="K18">
            <v>58238.896000000001</v>
          </cell>
          <cell r="L18">
            <v>10494.816000000001</v>
          </cell>
          <cell r="M18">
            <v>68733.712</v>
          </cell>
          <cell r="N18">
            <v>358732.08</v>
          </cell>
          <cell r="O18">
            <v>415430.03</v>
          </cell>
          <cell r="P18">
            <v>45031.78</v>
          </cell>
          <cell r="Q18">
            <v>44159.64</v>
          </cell>
          <cell r="R18">
            <v>970898.81</v>
          </cell>
          <cell r="S18">
            <v>1025484.9660000001</v>
          </cell>
        </row>
        <row r="19">
          <cell r="A19" t="str">
            <v>RN</v>
          </cell>
          <cell r="B19">
            <v>585039</v>
          </cell>
          <cell r="C19">
            <v>157137.49</v>
          </cell>
          <cell r="D19">
            <v>742176.49</v>
          </cell>
          <cell r="E19">
            <v>713019</v>
          </cell>
          <cell r="F19">
            <v>157137.48799999998</v>
          </cell>
          <cell r="G19">
            <v>870156.48800000001</v>
          </cell>
          <cell r="H19">
            <v>46798.61</v>
          </cell>
          <cell r="I19">
            <v>39673.749999999993</v>
          </cell>
          <cell r="J19">
            <v>86472.359999999986</v>
          </cell>
          <cell r="K19">
            <v>52927.455999999998</v>
          </cell>
          <cell r="L19">
            <v>39673.744000000006</v>
          </cell>
          <cell r="M19">
            <v>92601.200000000012</v>
          </cell>
          <cell r="N19">
            <v>766204.08</v>
          </cell>
          <cell r="O19">
            <v>877269.09</v>
          </cell>
          <cell r="P19">
            <v>72532.86</v>
          </cell>
          <cell r="Q19">
            <v>81554.3</v>
          </cell>
          <cell r="R19">
            <v>1667385.79</v>
          </cell>
          <cell r="S19">
            <v>1921581.078</v>
          </cell>
        </row>
        <row r="20">
          <cell r="A20" t="str">
            <v>SE</v>
          </cell>
          <cell r="B20">
            <v>340847.92</v>
          </cell>
          <cell r="C20">
            <v>90592.659999999989</v>
          </cell>
          <cell r="D20">
            <v>431440.57999999996</v>
          </cell>
          <cell r="E20">
            <v>435012.92799999996</v>
          </cell>
          <cell r="F20">
            <v>67014.960000000006</v>
          </cell>
          <cell r="G20">
            <v>502027.88799999998</v>
          </cell>
          <cell r="H20">
            <v>30126.93</v>
          </cell>
          <cell r="I20">
            <v>12640.259999999998</v>
          </cell>
          <cell r="J20">
            <v>42767.19</v>
          </cell>
          <cell r="K20">
            <v>38758.576000000001</v>
          </cell>
          <cell r="L20">
            <v>12640.256000000001</v>
          </cell>
          <cell r="M20">
            <v>51398.832000000002</v>
          </cell>
          <cell r="N20">
            <v>523836.6</v>
          </cell>
          <cell r="O20">
            <v>585134.67000000004</v>
          </cell>
          <cell r="P20">
            <v>43774.89</v>
          </cell>
          <cell r="Q20">
            <v>49948.9</v>
          </cell>
          <cell r="R20">
            <v>1041819.2599999999</v>
          </cell>
          <cell r="S20">
            <v>1188510.29</v>
          </cell>
        </row>
        <row r="21">
          <cell r="A21" t="str">
            <v>Soma (NE)</v>
          </cell>
          <cell r="B21">
            <v>6041416.1299999999</v>
          </cell>
          <cell r="C21">
            <v>1688592.6099999999</v>
          </cell>
          <cell r="D21">
            <v>7730008.7399999993</v>
          </cell>
          <cell r="E21">
            <v>7584954.8880000012</v>
          </cell>
          <cell r="F21">
            <v>1321317.9919999999</v>
          </cell>
          <cell r="G21">
            <v>8906272.8800000008</v>
          </cell>
          <cell r="H21">
            <v>602623.43000000005</v>
          </cell>
          <cell r="I21">
            <v>326155.33999999997</v>
          </cell>
          <cell r="J21">
            <v>928778.77</v>
          </cell>
          <cell r="K21">
            <v>690453.80799999996</v>
          </cell>
          <cell r="L21">
            <v>282625.36800000002</v>
          </cell>
          <cell r="M21">
            <v>973079.17600000009</v>
          </cell>
          <cell r="N21">
            <v>7076456.5199999996</v>
          </cell>
          <cell r="O21">
            <v>8011530.9300000006</v>
          </cell>
          <cell r="P21">
            <v>712970.02</v>
          </cell>
          <cell r="Q21">
            <v>901274.81000000017</v>
          </cell>
          <cell r="R21">
            <v>16448214.049999999</v>
          </cell>
          <cell r="S21">
            <v>18792157.796</v>
          </cell>
        </row>
        <row r="22">
          <cell r="A22" t="str">
            <v>DF</v>
          </cell>
          <cell r="B22">
            <v>1502059.5</v>
          </cell>
          <cell r="C22">
            <v>305742.58</v>
          </cell>
          <cell r="D22">
            <v>1807802.08</v>
          </cell>
          <cell r="E22">
            <v>1778840.4559999995</v>
          </cell>
          <cell r="F22">
            <v>272509.68800000002</v>
          </cell>
          <cell r="G22">
            <v>2051350.1439999996</v>
          </cell>
          <cell r="H22">
            <v>124079.33</v>
          </cell>
          <cell r="I22">
            <v>53126.969999999979</v>
          </cell>
          <cell r="J22">
            <v>177206.3</v>
          </cell>
          <cell r="K22">
            <v>133096.54399999999</v>
          </cell>
          <cell r="L22">
            <v>53126.96</v>
          </cell>
          <cell r="M22">
            <v>186223.50399999999</v>
          </cell>
          <cell r="N22">
            <v>1375453.08</v>
          </cell>
          <cell r="O22">
            <v>1539550.1</v>
          </cell>
          <cell r="P22">
            <v>164922.48000000001</v>
          </cell>
          <cell r="Q22">
            <v>216423.76</v>
          </cell>
          <cell r="R22">
            <v>3525383.94</v>
          </cell>
          <cell r="S22">
            <v>3993547.5079999994</v>
          </cell>
        </row>
        <row r="23">
          <cell r="A23" t="str">
            <v>GO</v>
          </cell>
          <cell r="B23">
            <v>1190349.76</v>
          </cell>
          <cell r="C23">
            <v>320000</v>
          </cell>
          <cell r="D23">
            <v>1510349.76</v>
          </cell>
          <cell r="E23">
            <v>1379093.6640000001</v>
          </cell>
          <cell r="F23">
            <v>221931.152</v>
          </cell>
          <cell r="G23">
            <v>1601024.8160000001</v>
          </cell>
          <cell r="H23">
            <v>67509.06</v>
          </cell>
          <cell r="I23">
            <v>35468.36</v>
          </cell>
          <cell r="J23">
            <v>102977.42</v>
          </cell>
          <cell r="K23">
            <v>82964.975999999995</v>
          </cell>
          <cell r="L23">
            <v>90843.423999999999</v>
          </cell>
          <cell r="M23">
            <v>173808.4</v>
          </cell>
          <cell r="N23">
            <v>2355501.6</v>
          </cell>
          <cell r="O23">
            <v>2651635</v>
          </cell>
          <cell r="P23">
            <v>138930.79</v>
          </cell>
          <cell r="Q23">
            <v>158024.91</v>
          </cell>
          <cell r="R23">
            <v>4107759.5700000003</v>
          </cell>
          <cell r="S23">
            <v>4584493.1260000002</v>
          </cell>
        </row>
        <row r="24">
          <cell r="A24" t="str">
            <v>MS</v>
          </cell>
          <cell r="B24">
            <v>719217.36</v>
          </cell>
          <cell r="C24">
            <v>228507.67</v>
          </cell>
          <cell r="D24">
            <v>947725.03</v>
          </cell>
          <cell r="E24">
            <v>854276.04800000007</v>
          </cell>
          <cell r="F24">
            <v>228507.67200000002</v>
          </cell>
          <cell r="G24">
            <v>1082783.7200000002</v>
          </cell>
          <cell r="H24">
            <v>101863.53</v>
          </cell>
          <cell r="I24">
            <v>53173.910000000018</v>
          </cell>
          <cell r="J24">
            <v>155037.44</v>
          </cell>
          <cell r="K24">
            <v>121900.35200000001</v>
          </cell>
          <cell r="L24">
            <v>53173.90400000001</v>
          </cell>
          <cell r="M24">
            <v>175074.25600000002</v>
          </cell>
          <cell r="N24">
            <v>1716084</v>
          </cell>
          <cell r="O24">
            <v>1860776.74</v>
          </cell>
          <cell r="P24">
            <v>118731.94</v>
          </cell>
          <cell r="Q24">
            <v>144739.51999999999</v>
          </cell>
          <cell r="R24">
            <v>2937578.4099999997</v>
          </cell>
          <cell r="S24">
            <v>3263374.236</v>
          </cell>
        </row>
        <row r="25">
          <cell r="A25" t="str">
            <v>MT</v>
          </cell>
          <cell r="B25">
            <v>841814.47</v>
          </cell>
          <cell r="C25">
            <v>174745.13</v>
          </cell>
          <cell r="D25">
            <v>1016559.6</v>
          </cell>
          <cell r="E25">
            <v>1059141.1679999998</v>
          </cell>
          <cell r="F25">
            <v>128444.17600000001</v>
          </cell>
          <cell r="G25">
            <v>1187585.3439999998</v>
          </cell>
          <cell r="H25">
            <v>87310.15</v>
          </cell>
          <cell r="I25">
            <v>47635.460000000006</v>
          </cell>
          <cell r="J25">
            <v>134945.60999999999</v>
          </cell>
          <cell r="K25">
            <v>108266.90399999998</v>
          </cell>
          <cell r="L25">
            <v>47635.456000000006</v>
          </cell>
          <cell r="M25">
            <v>155902.35999999999</v>
          </cell>
          <cell r="N25">
            <v>2611503.7200000002</v>
          </cell>
          <cell r="O25">
            <v>2977710.34</v>
          </cell>
          <cell r="P25">
            <v>116110.46</v>
          </cell>
          <cell r="Q25">
            <v>129635.94</v>
          </cell>
          <cell r="R25">
            <v>3879119.39</v>
          </cell>
          <cell r="S25">
            <v>4450833.9840000002</v>
          </cell>
        </row>
        <row r="26">
          <cell r="A26" t="str">
            <v>Soma (CO)</v>
          </cell>
          <cell r="B26">
            <v>4253441.09</v>
          </cell>
          <cell r="C26">
            <v>1028995.3800000001</v>
          </cell>
          <cell r="D26">
            <v>5282436.47</v>
          </cell>
          <cell r="E26">
            <v>5071351.3359999992</v>
          </cell>
          <cell r="F26">
            <v>851392.68800000008</v>
          </cell>
          <cell r="G26">
            <v>5922744.0239999993</v>
          </cell>
          <cell r="H26">
            <v>380762.07000000007</v>
          </cell>
          <cell r="I26">
            <v>189404.7</v>
          </cell>
          <cell r="J26">
            <v>570166.77</v>
          </cell>
          <cell r="K26">
            <v>446228.77599999995</v>
          </cell>
          <cell r="L26">
            <v>244779.74400000001</v>
          </cell>
          <cell r="M26">
            <v>691008.52</v>
          </cell>
          <cell r="N26">
            <v>8058542.4000000004</v>
          </cell>
          <cell r="O26">
            <v>9029672.1799999997</v>
          </cell>
          <cell r="P26">
            <v>538695.67000000004</v>
          </cell>
          <cell r="Q26">
            <v>648824.13000000012</v>
          </cell>
          <cell r="R26">
            <v>14449841.310000001</v>
          </cell>
          <cell r="S26">
            <v>16292248.853999998</v>
          </cell>
        </row>
        <row r="27">
          <cell r="A27" t="str">
            <v>ES</v>
          </cell>
          <cell r="B27">
            <v>1083868.6300000001</v>
          </cell>
          <cell r="C27">
            <v>243910.54999999978</v>
          </cell>
          <cell r="D27">
            <v>1327779.18</v>
          </cell>
          <cell r="E27">
            <v>1437738.3759999999</v>
          </cell>
          <cell r="F27">
            <v>82239.352000000014</v>
          </cell>
          <cell r="G27">
            <v>1519977.7279999999</v>
          </cell>
          <cell r="H27">
            <v>101755.51</v>
          </cell>
          <cell r="I27">
            <v>35634.04</v>
          </cell>
          <cell r="J27">
            <v>137389.54999999999</v>
          </cell>
          <cell r="K27">
            <v>128752.43200000002</v>
          </cell>
          <cell r="L27">
            <v>14149.88</v>
          </cell>
          <cell r="M27">
            <v>142902.31200000001</v>
          </cell>
          <cell r="N27">
            <v>1164272.8799999999</v>
          </cell>
          <cell r="O27">
            <v>1327246.1399999999</v>
          </cell>
          <cell r="P27">
            <v>97735.84</v>
          </cell>
          <cell r="Q27">
            <v>149580.47</v>
          </cell>
          <cell r="R27">
            <v>2727177.4499999997</v>
          </cell>
          <cell r="S27">
            <v>3139706.65</v>
          </cell>
        </row>
        <row r="28">
          <cell r="A28" t="str">
            <v>MG</v>
          </cell>
          <cell r="B28">
            <v>3864411.6599999997</v>
          </cell>
          <cell r="C28">
            <v>989040.98</v>
          </cell>
          <cell r="D28">
            <v>4853452.6399999997</v>
          </cell>
          <cell r="E28">
            <v>4786978.784</v>
          </cell>
          <cell r="F28">
            <v>672571.16</v>
          </cell>
          <cell r="G28">
            <v>5459549.9440000001</v>
          </cell>
          <cell r="H28">
            <v>357589.7</v>
          </cell>
          <cell r="I28">
            <v>135682.07</v>
          </cell>
          <cell r="J28">
            <v>493271.77</v>
          </cell>
          <cell r="K28">
            <v>430923.35200000007</v>
          </cell>
          <cell r="L28">
            <v>80833.144</v>
          </cell>
          <cell r="M28">
            <v>511756.49600000004</v>
          </cell>
          <cell r="N28">
            <v>4407201.4800000004</v>
          </cell>
          <cell r="O28">
            <v>4935114.83</v>
          </cell>
          <cell r="P28">
            <v>467067.51</v>
          </cell>
          <cell r="Q28">
            <v>592965.98</v>
          </cell>
          <cell r="R28">
            <v>10220993.4</v>
          </cell>
          <cell r="S28">
            <v>11499387.25</v>
          </cell>
        </row>
        <row r="29">
          <cell r="A29" t="str">
            <v>RJ</v>
          </cell>
          <cell r="B29">
            <v>4118030.05</v>
          </cell>
          <cell r="C29">
            <v>1358695.97</v>
          </cell>
          <cell r="D29">
            <v>5476726.0199999996</v>
          </cell>
          <cell r="E29">
            <v>4637544.568</v>
          </cell>
          <cell r="F29">
            <v>1377724.6320000002</v>
          </cell>
          <cell r="G29">
            <v>6015269.2000000002</v>
          </cell>
          <cell r="H29">
            <v>576993.97</v>
          </cell>
          <cell r="I29">
            <v>300519.21000000014</v>
          </cell>
          <cell r="J29">
            <v>877513.18000000017</v>
          </cell>
          <cell r="K29">
            <v>613813.02400000009</v>
          </cell>
          <cell r="L29">
            <v>307902.50400000002</v>
          </cell>
          <cell r="M29">
            <v>921715.52800000017</v>
          </cell>
          <cell r="N29">
            <v>4213417.2</v>
          </cell>
          <cell r="O29">
            <v>5158328.38</v>
          </cell>
          <cell r="P29">
            <v>463547.14</v>
          </cell>
          <cell r="Q29">
            <v>665242.22</v>
          </cell>
          <cell r="R29">
            <v>11031203.539999999</v>
          </cell>
          <cell r="S29">
            <v>12760555.328</v>
          </cell>
        </row>
        <row r="30">
          <cell r="A30" t="str">
            <v>SP</v>
          </cell>
          <cell r="B30">
            <v>14462994.970000001</v>
          </cell>
          <cell r="C30">
            <v>3454785.6500000018</v>
          </cell>
          <cell r="D30">
            <v>17917780.609999999</v>
          </cell>
          <cell r="E30">
            <v>17642934.056000002</v>
          </cell>
          <cell r="F30">
            <v>3147567.4000000004</v>
          </cell>
          <cell r="G30">
            <v>20790501.456</v>
          </cell>
          <cell r="H30">
            <v>1511169.7</v>
          </cell>
          <cell r="I30">
            <v>433573.5</v>
          </cell>
          <cell r="J30">
            <v>1944743.2</v>
          </cell>
          <cell r="K30">
            <v>1729808.0079999999</v>
          </cell>
          <cell r="L30">
            <v>422009.97600000002</v>
          </cell>
          <cell r="M30">
            <v>2151817.9840000002</v>
          </cell>
          <cell r="N30">
            <v>26818788.359999999</v>
          </cell>
          <cell r="O30">
            <v>30198334.600000001</v>
          </cell>
          <cell r="P30">
            <v>1630098.86</v>
          </cell>
          <cell r="Q30">
            <v>1700500.93</v>
          </cell>
          <cell r="R30">
            <v>48311411.030000001</v>
          </cell>
          <cell r="S30">
            <v>54841154.970000006</v>
          </cell>
        </row>
        <row r="31">
          <cell r="A31" t="str">
            <v>Soma (SE)</v>
          </cell>
          <cell r="B31">
            <v>23529305.310000002</v>
          </cell>
          <cell r="C31">
            <v>6046433.1500000022</v>
          </cell>
          <cell r="D31">
            <v>29575738.449999999</v>
          </cell>
          <cell r="E31">
            <v>28505195.784000002</v>
          </cell>
          <cell r="F31">
            <v>5280102.5440000007</v>
          </cell>
          <cell r="G31">
            <v>33785298.328000002</v>
          </cell>
          <cell r="H31">
            <v>2547508.88</v>
          </cell>
          <cell r="I31">
            <v>905408.82000000018</v>
          </cell>
          <cell r="J31">
            <v>3452917.7</v>
          </cell>
          <cell r="K31">
            <v>2903296.8160000001</v>
          </cell>
          <cell r="L31">
            <v>824895.50400000007</v>
          </cell>
          <cell r="M31">
            <v>3728192.3200000003</v>
          </cell>
          <cell r="N31">
            <v>36603679.920000002</v>
          </cell>
          <cell r="O31">
            <v>41619023.950000003</v>
          </cell>
          <cell r="P31">
            <v>2658449.35</v>
          </cell>
          <cell r="Q31">
            <v>3108289.5999999996</v>
          </cell>
          <cell r="R31">
            <v>72290785.420000002</v>
          </cell>
          <cell r="S31">
            <v>82240804.198000014</v>
          </cell>
        </row>
        <row r="32">
          <cell r="A32" t="str">
            <v>PR</v>
          </cell>
          <cell r="B32">
            <v>3295161.96</v>
          </cell>
          <cell r="C32">
            <v>597154.62</v>
          </cell>
          <cell r="D32">
            <v>3892316.58</v>
          </cell>
          <cell r="E32">
            <v>3584729.5519999997</v>
          </cell>
          <cell r="F32">
            <v>483287.37599999999</v>
          </cell>
          <cell r="G32">
            <v>4068016.9279999998</v>
          </cell>
          <cell r="H32">
            <v>459414.76</v>
          </cell>
          <cell r="I32">
            <v>136120.97999999998</v>
          </cell>
          <cell r="J32">
            <v>595535.74</v>
          </cell>
          <cell r="K32">
            <v>492594.59999999992</v>
          </cell>
          <cell r="L32">
            <v>130089.73600000002</v>
          </cell>
          <cell r="M32">
            <v>622684.33599999989</v>
          </cell>
          <cell r="N32">
            <v>6182917.4400000004</v>
          </cell>
          <cell r="O32">
            <v>6433970.46</v>
          </cell>
          <cell r="P32">
            <v>397911.73</v>
          </cell>
          <cell r="Q32">
            <v>444986.87</v>
          </cell>
          <cell r="R32">
            <v>11068681.490000002</v>
          </cell>
          <cell r="S32">
            <v>11569658.593999999</v>
          </cell>
        </row>
        <row r="33">
          <cell r="A33" t="str">
            <v>RS</v>
          </cell>
          <cell r="B33">
            <v>4135007.87</v>
          </cell>
          <cell r="C33">
            <v>674682.09</v>
          </cell>
          <cell r="D33">
            <v>4809689.96</v>
          </cell>
          <cell r="E33">
            <v>4734720.0959999999</v>
          </cell>
          <cell r="F33">
            <v>674682.09600000002</v>
          </cell>
          <cell r="G33">
            <v>5409402.1919999998</v>
          </cell>
          <cell r="H33">
            <v>515100.73</v>
          </cell>
          <cell r="I33">
            <v>201265.53</v>
          </cell>
          <cell r="J33">
            <v>716366.26</v>
          </cell>
          <cell r="K33">
            <v>608680.91200000001</v>
          </cell>
          <cell r="L33">
            <v>201265.52800000002</v>
          </cell>
          <cell r="M33">
            <v>809946.44000000006</v>
          </cell>
          <cell r="N33">
            <v>7347973.9199999999</v>
          </cell>
          <cell r="O33">
            <v>8176300.29</v>
          </cell>
          <cell r="P33">
            <v>473674.79</v>
          </cell>
          <cell r="Q33">
            <v>575825.96</v>
          </cell>
          <cell r="R33">
            <v>13347704.93</v>
          </cell>
          <cell r="S33">
            <v>14971474.881999999</v>
          </cell>
        </row>
        <row r="34">
          <cell r="A34" t="str">
            <v>SC</v>
          </cell>
          <cell r="B34">
            <v>2795823.03</v>
          </cell>
          <cell r="C34">
            <v>531290.5900000002</v>
          </cell>
          <cell r="D34">
            <v>3327113.62</v>
          </cell>
          <cell r="E34">
            <v>3476552.3760000002</v>
          </cell>
          <cell r="F34">
            <v>455971.64800000004</v>
          </cell>
          <cell r="G34">
            <v>3932524.0240000002</v>
          </cell>
          <cell r="H34">
            <v>351243.78</v>
          </cell>
          <cell r="I34">
            <v>92983.78999999995</v>
          </cell>
          <cell r="J34">
            <v>444227.56999999995</v>
          </cell>
          <cell r="K34">
            <v>386045.13599999994</v>
          </cell>
          <cell r="L34">
            <v>92983.784</v>
          </cell>
          <cell r="M34">
            <v>479028.91999999993</v>
          </cell>
          <cell r="N34">
            <v>4717193.6399999997</v>
          </cell>
          <cell r="O34">
            <v>5290282.4000000004</v>
          </cell>
          <cell r="P34">
            <v>262870.02</v>
          </cell>
          <cell r="Q34">
            <v>291055.06</v>
          </cell>
          <cell r="R34">
            <v>8751404.8499999996</v>
          </cell>
          <cell r="S34">
            <v>9992890.404000001</v>
          </cell>
        </row>
        <row r="35">
          <cell r="A35" t="str">
            <v>Soma (S)</v>
          </cell>
          <cell r="B35">
            <v>10225992.859999999</v>
          </cell>
          <cell r="C35">
            <v>1803127.3000000003</v>
          </cell>
          <cell r="D35">
            <v>12029120.16</v>
          </cell>
          <cell r="E35">
            <v>11796002.024</v>
          </cell>
          <cell r="F35">
            <v>1613941.12</v>
          </cell>
          <cell r="G35">
            <v>13409943.143999999</v>
          </cell>
          <cell r="H35">
            <v>1325759.27</v>
          </cell>
          <cell r="I35">
            <v>430370.29999999993</v>
          </cell>
          <cell r="J35">
            <v>1756129.5699999998</v>
          </cell>
          <cell r="K35">
            <v>1487320.6479999998</v>
          </cell>
          <cell r="L35">
            <v>424339.04800000001</v>
          </cell>
          <cell r="M35">
            <v>1911659.696</v>
          </cell>
          <cell r="N35">
            <v>18248085</v>
          </cell>
          <cell r="O35">
            <v>19900553.149999999</v>
          </cell>
          <cell r="P35">
            <v>1134456.54</v>
          </cell>
          <cell r="Q35">
            <v>1311867.8899999999</v>
          </cell>
          <cell r="R35">
            <v>33167791.270000003</v>
          </cell>
          <cell r="S35">
            <v>36534023.879999995</v>
          </cell>
        </row>
        <row r="36">
          <cell r="A36" t="str">
            <v>TOTAL</v>
          </cell>
          <cell r="B36">
            <v>45777828.990000002</v>
          </cell>
          <cell r="C36">
            <v>11165969.400000002</v>
          </cell>
          <cell r="D36">
            <v>56943798.379999995</v>
          </cell>
          <cell r="E36">
            <v>55201128.296000004</v>
          </cell>
          <cell r="F36">
            <v>9641021.3180000018</v>
          </cell>
          <cell r="G36">
            <v>64842149.583999999</v>
          </cell>
          <cell r="H36">
            <v>5061099.0600000005</v>
          </cell>
          <cell r="I36">
            <v>1968341.73</v>
          </cell>
          <cell r="J36">
            <v>7029440.790000001</v>
          </cell>
          <cell r="K36">
            <v>5764006.2000000002</v>
          </cell>
          <cell r="L36">
            <v>1893642.2480000001</v>
          </cell>
          <cell r="M36">
            <v>7657648.4480000008</v>
          </cell>
          <cell r="N36">
            <v>72902147.640000001</v>
          </cell>
          <cell r="O36">
            <v>81933659.950000003</v>
          </cell>
          <cell r="P36">
            <v>5292655.8900000006</v>
          </cell>
          <cell r="Q36">
            <v>6285870.2499999991</v>
          </cell>
          <cell r="R36">
            <v>142168042.70000002</v>
          </cell>
          <cell r="S36">
            <v>160719328.23199999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gras de Descontos - PF e PJ"/>
      <sheetName val="PF e PJ - com desconto"/>
      <sheetName val="Quadro 1 - AÇÕES ESTRATÉGICAS"/>
      <sheetName val="Quadro 2"/>
      <sheetName val="Quadro 3"/>
      <sheetName val="Quadro 4"/>
      <sheetName val="Quadros 5 6 7"/>
      <sheetName val="Anexo IV- Qde e Valor 100%"/>
      <sheetName val="Anexo III- Qde Prof_Empr_RRT"/>
      <sheetName val="Anexo V-Resumo Valor 80% "/>
      <sheetName val="Alterações ou Resumo do CAU_UF"/>
      <sheetName val="Anexo VI-Repasse Fundo de Apoio"/>
      <sheetName val="Anexo VI.I-Aporte do FA"/>
      <sheetName val="Anexo VII- CSC - SERV."/>
      <sheetName val="Anexo VII.I-CSC-Teleatendimento"/>
      <sheetName val="Anexo VII.II-CSC -ESSENCIAIS"/>
      <sheetName val="Anexo VII.III- SISCAF"/>
      <sheetName val="GERAL_CSC"/>
      <sheetName val=" Anexo VIII-TARIFAS BANCÁRIAS"/>
      <sheetName val="Anexo X.I-Projeções (80 e 100)"/>
      <sheetName val="PF - Projeção"/>
      <sheetName val="Anexo X.II-Anuidades PF"/>
      <sheetName val="PJ - Projeção"/>
      <sheetName val="RRT"/>
      <sheetName val="Anexo X.III- Anuidades PJ"/>
      <sheetName val="Anexo X.IV- RRT "/>
      <sheetName val="Taxas e Multas"/>
      <sheetName val="Anexo X.V-Taxas e Multas"/>
      <sheetName val="Estudos-Percentuais"/>
      <sheetName val="Exerc.Anteriores PF-PJ"/>
      <sheetName val="PASSAGENS_2022"/>
      <sheetName val="Arrecadação_Aportes "/>
      <sheetName val="APRESENTAÇÃO  2022"/>
      <sheetName val="Aporte_Arrecadação(2)"/>
      <sheetName val="ANEXO XI.I"/>
      <sheetName val="EMPRESAS"/>
      <sheetName val="CSC_TAQ e Telefoni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5">
          <cell r="A5" t="str">
            <v>AC</v>
          </cell>
          <cell r="B5">
            <v>678</v>
          </cell>
          <cell r="C5">
            <v>736</v>
          </cell>
          <cell r="D5">
            <v>8.5545722713864336</v>
          </cell>
          <cell r="E5">
            <v>673</v>
          </cell>
          <cell r="F5">
            <v>725</v>
          </cell>
          <cell r="G5">
            <v>7.7265973254086191</v>
          </cell>
          <cell r="H5">
            <v>430</v>
          </cell>
          <cell r="I5">
            <v>463</v>
          </cell>
          <cell r="J5">
            <v>7.6744186046511658</v>
          </cell>
          <cell r="K5">
            <v>36.106983655274895</v>
          </cell>
          <cell r="L5">
            <v>36.137931034482762</v>
          </cell>
          <cell r="M5">
            <v>3.0947379207866277E-2</v>
          </cell>
          <cell r="N5">
            <v>141</v>
          </cell>
          <cell r="O5">
            <v>146</v>
          </cell>
          <cell r="P5">
            <v>3.5460992907801341</v>
          </cell>
          <cell r="Q5">
            <v>68</v>
          </cell>
          <cell r="R5">
            <v>70</v>
          </cell>
          <cell r="S5">
            <v>2.941176470588232</v>
          </cell>
          <cell r="T5">
            <v>51.773049645390074</v>
          </cell>
          <cell r="U5">
            <v>52.054794520547951</v>
          </cell>
          <cell r="V5">
            <v>0.28174487515787661</v>
          </cell>
          <cell r="W5">
            <v>2631</v>
          </cell>
          <cell r="X5">
            <v>2724</v>
          </cell>
        </row>
        <row r="6">
          <cell r="A6" t="str">
            <v>AM</v>
          </cell>
          <cell r="B6">
            <v>1900</v>
          </cell>
          <cell r="C6">
            <v>2200</v>
          </cell>
          <cell r="D6">
            <v>15.789473684210535</v>
          </cell>
          <cell r="E6">
            <v>1889</v>
          </cell>
          <cell r="F6">
            <v>2182</v>
          </cell>
          <cell r="G6">
            <v>15.510852302805716</v>
          </cell>
          <cell r="H6">
            <v>1279</v>
          </cell>
          <cell r="I6">
            <v>1474</v>
          </cell>
          <cell r="J6">
            <v>15.246286161063338</v>
          </cell>
          <cell r="K6">
            <v>32.292218104817366</v>
          </cell>
          <cell r="L6">
            <v>32.447296058661777</v>
          </cell>
          <cell r="M6">
            <v>0.15507795384441181</v>
          </cell>
          <cell r="N6">
            <v>249</v>
          </cell>
          <cell r="O6">
            <v>260</v>
          </cell>
          <cell r="P6">
            <v>4.4176706827309289</v>
          </cell>
          <cell r="Q6">
            <v>118</v>
          </cell>
          <cell r="R6">
            <v>123</v>
          </cell>
          <cell r="S6">
            <v>4.2372881355932321</v>
          </cell>
          <cell r="T6">
            <v>52.610441767068274</v>
          </cell>
          <cell r="U6">
            <v>52.692307692307693</v>
          </cell>
          <cell r="V6">
            <v>8.1865925239419823E-2</v>
          </cell>
          <cell r="W6">
            <v>5997</v>
          </cell>
          <cell r="X6">
            <v>6704</v>
          </cell>
        </row>
        <row r="7">
          <cell r="A7" t="str">
            <v>AP</v>
          </cell>
          <cell r="B7">
            <v>802</v>
          </cell>
          <cell r="C7">
            <v>859.6</v>
          </cell>
          <cell r="D7">
            <v>7.1820448877805632</v>
          </cell>
          <cell r="E7">
            <v>801</v>
          </cell>
          <cell r="F7">
            <v>853.6</v>
          </cell>
          <cell r="G7">
            <v>6.5667915106117505</v>
          </cell>
          <cell r="H7">
            <v>462</v>
          </cell>
          <cell r="I7">
            <v>520</v>
          </cell>
          <cell r="J7">
            <v>12.554112554112564</v>
          </cell>
          <cell r="K7">
            <v>42.322097378277157</v>
          </cell>
          <cell r="L7">
            <v>39.081537019681356</v>
          </cell>
          <cell r="M7">
            <v>-3.2405603585958005</v>
          </cell>
          <cell r="N7">
            <v>282</v>
          </cell>
          <cell r="O7">
            <v>292</v>
          </cell>
          <cell r="P7">
            <v>3.5460992907801341</v>
          </cell>
          <cell r="Q7">
            <v>84</v>
          </cell>
          <cell r="R7">
            <v>87</v>
          </cell>
          <cell r="S7">
            <v>3.5714285714285836</v>
          </cell>
          <cell r="T7">
            <v>70.212765957446805</v>
          </cell>
          <cell r="U7">
            <v>70.205479452054789</v>
          </cell>
          <cell r="V7">
            <v>-7.2865053920168066E-3</v>
          </cell>
          <cell r="W7">
            <v>3314</v>
          </cell>
          <cell r="X7">
            <v>3432</v>
          </cell>
        </row>
        <row r="8">
          <cell r="A8" t="str">
            <v>PA</v>
          </cell>
          <cell r="B8">
            <v>3022</v>
          </cell>
          <cell r="C8">
            <v>3191.6</v>
          </cell>
          <cell r="D8">
            <v>5.612177365982788</v>
          </cell>
          <cell r="E8">
            <v>2909</v>
          </cell>
          <cell r="F8">
            <v>3024.6</v>
          </cell>
          <cell r="G8">
            <v>3.9738741835682276</v>
          </cell>
          <cell r="H8">
            <v>1594</v>
          </cell>
          <cell r="I8">
            <v>1745</v>
          </cell>
          <cell r="J8">
            <v>9.4730238393977402</v>
          </cell>
          <cell r="K8">
            <v>45.204537641801302</v>
          </cell>
          <cell r="L8">
            <v>42.306420683726778</v>
          </cell>
          <cell r="M8">
            <v>-2.8981169580745245</v>
          </cell>
          <cell r="N8">
            <v>405</v>
          </cell>
          <cell r="O8">
            <v>435</v>
          </cell>
          <cell r="P8">
            <v>7.407407407407419</v>
          </cell>
          <cell r="Q8">
            <v>127</v>
          </cell>
          <cell r="R8">
            <v>136</v>
          </cell>
          <cell r="S8">
            <v>7.0866141732283552</v>
          </cell>
          <cell r="T8">
            <v>68.641975308641975</v>
          </cell>
          <cell r="U8">
            <v>68.735632183908052</v>
          </cell>
          <cell r="V8">
            <v>9.3656875266077577E-2</v>
          </cell>
          <cell r="W8">
            <v>8050</v>
          </cell>
          <cell r="X8">
            <v>8294</v>
          </cell>
        </row>
        <row r="9">
          <cell r="A9" t="str">
            <v>RO</v>
          </cell>
          <cell r="B9">
            <v>1337</v>
          </cell>
          <cell r="C9">
            <v>1461.8</v>
          </cell>
          <cell r="D9">
            <v>9.3343305908750978</v>
          </cell>
          <cell r="E9">
            <v>1330</v>
          </cell>
          <cell r="F9">
            <v>1442.8</v>
          </cell>
          <cell r="G9">
            <v>8.4812030075188005</v>
          </cell>
          <cell r="H9">
            <v>956</v>
          </cell>
          <cell r="I9">
            <v>1030</v>
          </cell>
          <cell r="J9">
            <v>7.7405857740585873</v>
          </cell>
          <cell r="K9">
            <v>28.120300751879697</v>
          </cell>
          <cell r="L9">
            <v>28.611034100360413</v>
          </cell>
          <cell r="M9">
            <v>0.49073334848071681</v>
          </cell>
          <cell r="N9">
            <v>233</v>
          </cell>
          <cell r="O9">
            <v>241</v>
          </cell>
          <cell r="P9">
            <v>3.4334763948497908</v>
          </cell>
          <cell r="Q9">
            <v>105</v>
          </cell>
          <cell r="R9">
            <v>109</v>
          </cell>
          <cell r="S9">
            <v>3.8095238095238244</v>
          </cell>
          <cell r="T9">
            <v>54.935622317596568</v>
          </cell>
          <cell r="U9">
            <v>54.771784232365142</v>
          </cell>
          <cell r="V9">
            <v>-0.16383808523142562</v>
          </cell>
          <cell r="W9">
            <v>10528</v>
          </cell>
          <cell r="X9">
            <v>11007</v>
          </cell>
        </row>
        <row r="10">
          <cell r="A10" t="str">
            <v>RR</v>
          </cell>
          <cell r="B10">
            <v>239</v>
          </cell>
          <cell r="C10">
            <v>250</v>
          </cell>
          <cell r="D10">
            <v>4.6025104602510396</v>
          </cell>
          <cell r="E10">
            <v>232</v>
          </cell>
          <cell r="F10">
            <v>241</v>
          </cell>
          <cell r="G10">
            <v>3.8793103448275872</v>
          </cell>
          <cell r="H10">
            <v>149</v>
          </cell>
          <cell r="I10">
            <v>156</v>
          </cell>
          <cell r="J10">
            <v>4.6979865771812115</v>
          </cell>
          <cell r="K10">
            <v>35.775862068965509</v>
          </cell>
          <cell r="L10">
            <v>35.269709543568467</v>
          </cell>
          <cell r="M10">
            <v>-0.50615252539704159</v>
          </cell>
          <cell r="N10">
            <v>62</v>
          </cell>
          <cell r="O10">
            <v>64</v>
          </cell>
          <cell r="P10">
            <v>3.2258064516128968</v>
          </cell>
          <cell r="Q10">
            <v>21</v>
          </cell>
          <cell r="R10">
            <v>22</v>
          </cell>
          <cell r="S10">
            <v>4.7619047619047734</v>
          </cell>
          <cell r="T10">
            <v>66.129032258064512</v>
          </cell>
          <cell r="U10">
            <v>65.625</v>
          </cell>
          <cell r="V10">
            <v>-0.50403225806451246</v>
          </cell>
          <cell r="W10">
            <v>1258</v>
          </cell>
          <cell r="X10">
            <v>1269</v>
          </cell>
        </row>
        <row r="11">
          <cell r="A11" t="str">
            <v>TO</v>
          </cell>
          <cell r="B11">
            <v>828</v>
          </cell>
          <cell r="C11">
            <v>873</v>
          </cell>
          <cell r="D11">
            <v>5.4347826086956559</v>
          </cell>
          <cell r="E11">
            <v>815</v>
          </cell>
          <cell r="F11">
            <v>854</v>
          </cell>
          <cell r="G11">
            <v>4.7852760736196274</v>
          </cell>
          <cell r="H11">
            <v>586</v>
          </cell>
          <cell r="I11">
            <v>616</v>
          </cell>
          <cell r="J11">
            <v>5.11945392491468</v>
          </cell>
          <cell r="K11">
            <v>28.098159509202461</v>
          </cell>
          <cell r="L11">
            <v>27.868852459016395</v>
          </cell>
          <cell r="M11">
            <v>-0.22930705018606545</v>
          </cell>
          <cell r="N11">
            <v>206</v>
          </cell>
          <cell r="O11">
            <v>213</v>
          </cell>
          <cell r="P11">
            <v>3.3980582524271767</v>
          </cell>
          <cell r="Q11">
            <v>75</v>
          </cell>
          <cell r="R11">
            <v>78</v>
          </cell>
          <cell r="S11">
            <v>4</v>
          </cell>
          <cell r="T11">
            <v>63.592233009708735</v>
          </cell>
          <cell r="U11">
            <v>63.380281690140841</v>
          </cell>
          <cell r="V11">
            <v>-0.21195131956789481</v>
          </cell>
          <cell r="W11">
            <v>5427</v>
          </cell>
          <cell r="X11">
            <v>5525</v>
          </cell>
        </row>
        <row r="12">
          <cell r="A12" t="str">
            <v>Soma (N)</v>
          </cell>
          <cell r="B12">
            <v>8806</v>
          </cell>
          <cell r="C12">
            <v>9572</v>
          </cell>
          <cell r="D12">
            <v>8.6986145809675293</v>
          </cell>
          <cell r="E12">
            <v>8649</v>
          </cell>
          <cell r="F12">
            <v>9323</v>
          </cell>
          <cell r="G12">
            <v>7.7928084171580565</v>
          </cell>
          <cell r="H12">
            <v>5456</v>
          </cell>
          <cell r="I12">
            <v>6004</v>
          </cell>
          <cell r="J12">
            <v>10.04398826979471</v>
          </cell>
          <cell r="K12">
            <v>36.917562724014338</v>
          </cell>
          <cell r="L12">
            <v>35.600128713933287</v>
          </cell>
          <cell r="M12">
            <v>-1.3174340100810511</v>
          </cell>
          <cell r="N12">
            <v>1578</v>
          </cell>
          <cell r="O12">
            <v>1651</v>
          </cell>
          <cell r="P12">
            <v>4.6261089987325761</v>
          </cell>
          <cell r="Q12">
            <v>598</v>
          </cell>
          <cell r="R12">
            <v>625</v>
          </cell>
          <cell r="S12">
            <v>4.5150501672240893</v>
          </cell>
          <cell r="T12">
            <v>62.103929024081118</v>
          </cell>
          <cell r="U12">
            <v>62.144155057540885</v>
          </cell>
          <cell r="V12">
            <v>4.0226033459767052E-2</v>
          </cell>
          <cell r="W12">
            <v>37205</v>
          </cell>
          <cell r="X12">
            <v>38955</v>
          </cell>
        </row>
        <row r="13">
          <cell r="A13" t="str">
            <v>AL</v>
          </cell>
          <cell r="B13">
            <v>2099</v>
          </cell>
          <cell r="C13">
            <v>2183</v>
          </cell>
          <cell r="D13">
            <v>4.0019056693663515</v>
          </cell>
          <cell r="E13">
            <v>2051</v>
          </cell>
          <cell r="F13">
            <v>2095</v>
          </cell>
          <cell r="G13">
            <v>2.1452949780594821</v>
          </cell>
          <cell r="H13">
            <v>1358</v>
          </cell>
          <cell r="I13">
            <v>1416</v>
          </cell>
          <cell r="J13">
            <v>4.2709867452135626</v>
          </cell>
          <cell r="K13">
            <v>33.788395904436868</v>
          </cell>
          <cell r="L13">
            <v>32.410501193317415</v>
          </cell>
          <cell r="M13">
            <v>-1.3778947111194526</v>
          </cell>
          <cell r="N13">
            <v>166</v>
          </cell>
          <cell r="O13">
            <v>174</v>
          </cell>
          <cell r="P13">
            <v>4.8192771084337238</v>
          </cell>
          <cell r="Q13">
            <v>72</v>
          </cell>
          <cell r="R13">
            <v>75</v>
          </cell>
          <cell r="S13">
            <v>4.1666666666666714</v>
          </cell>
          <cell r="T13">
            <v>56.626506024096386</v>
          </cell>
          <cell r="U13">
            <v>56.896551724137936</v>
          </cell>
          <cell r="V13">
            <v>0.27004570004154971</v>
          </cell>
          <cell r="W13">
            <v>7110</v>
          </cell>
          <cell r="X13">
            <v>7198</v>
          </cell>
        </row>
        <row r="14">
          <cell r="A14" t="str">
            <v>BA</v>
          </cell>
          <cell r="B14">
            <v>6994</v>
          </cell>
          <cell r="C14">
            <v>7366.3</v>
          </cell>
          <cell r="D14">
            <v>5.3231341149556783</v>
          </cell>
          <cell r="E14">
            <v>6275</v>
          </cell>
          <cell r="F14">
            <v>6563.3</v>
          </cell>
          <cell r="G14">
            <v>4.5944223107569684</v>
          </cell>
          <cell r="H14">
            <v>4339</v>
          </cell>
          <cell r="I14">
            <v>4538</v>
          </cell>
          <cell r="J14">
            <v>4.5863102097257524</v>
          </cell>
          <cell r="K14">
            <v>30.852589641434264</v>
          </cell>
          <cell r="L14">
            <v>30.857952554355279</v>
          </cell>
          <cell r="M14">
            <v>5.362912921015095E-3</v>
          </cell>
          <cell r="N14">
            <v>989</v>
          </cell>
          <cell r="O14">
            <v>1025</v>
          </cell>
          <cell r="P14">
            <v>3.6400404448938275</v>
          </cell>
          <cell r="Q14">
            <v>485</v>
          </cell>
          <cell r="R14">
            <v>503</v>
          </cell>
          <cell r="S14">
            <v>3.7113402061855822</v>
          </cell>
          <cell r="T14">
            <v>50.960566228513649</v>
          </cell>
          <cell r="U14">
            <v>50.926829268292686</v>
          </cell>
          <cell r="V14">
            <v>-3.3736960220963397E-2</v>
          </cell>
          <cell r="W14">
            <v>17891</v>
          </cell>
          <cell r="X14">
            <v>18270</v>
          </cell>
        </row>
        <row r="15">
          <cell r="A15" t="str">
            <v>CE</v>
          </cell>
          <cell r="B15">
            <v>4388</v>
          </cell>
          <cell r="C15">
            <v>4728</v>
          </cell>
          <cell r="D15">
            <v>7.7484047402005558</v>
          </cell>
          <cell r="E15">
            <v>4249</v>
          </cell>
          <cell r="F15">
            <v>4542</v>
          </cell>
          <cell r="G15">
            <v>6.8957401741586182</v>
          </cell>
          <cell r="H15">
            <v>2877</v>
          </cell>
          <cell r="I15">
            <v>3075</v>
          </cell>
          <cell r="J15">
            <v>6.8821689259645353</v>
          </cell>
          <cell r="K15">
            <v>32.289950576606259</v>
          </cell>
          <cell r="L15">
            <v>32.298546895640683</v>
          </cell>
          <cell r="M15">
            <v>8.5963190344244822E-3</v>
          </cell>
          <cell r="N15">
            <v>422</v>
          </cell>
          <cell r="O15">
            <v>437</v>
          </cell>
          <cell r="P15">
            <v>3.5545023696682563</v>
          </cell>
          <cell r="Q15">
            <v>243</v>
          </cell>
          <cell r="R15">
            <v>252</v>
          </cell>
          <cell r="S15">
            <v>3.7037037037036953</v>
          </cell>
          <cell r="T15">
            <v>42.417061611374407</v>
          </cell>
          <cell r="U15">
            <v>42.334096109839813</v>
          </cell>
          <cell r="V15">
            <v>-8.2965501534594921E-2</v>
          </cell>
          <cell r="W15">
            <v>11612</v>
          </cell>
          <cell r="X15">
            <v>11943</v>
          </cell>
        </row>
        <row r="16">
          <cell r="A16" t="str">
            <v>MA</v>
          </cell>
          <cell r="B16">
            <v>2017</v>
          </cell>
          <cell r="C16">
            <v>2161</v>
          </cell>
          <cell r="D16">
            <v>7.1393158155676844</v>
          </cell>
          <cell r="E16">
            <v>1995</v>
          </cell>
          <cell r="F16">
            <v>2133</v>
          </cell>
          <cell r="G16">
            <v>6.9172932330827024</v>
          </cell>
          <cell r="H16">
            <v>1267</v>
          </cell>
          <cell r="I16">
            <v>1385</v>
          </cell>
          <cell r="J16">
            <v>9.3133385951065435</v>
          </cell>
          <cell r="K16">
            <v>36.491228070175438</v>
          </cell>
          <cell r="L16">
            <v>35.067979371776829</v>
          </cell>
          <cell r="M16">
            <v>-1.4232486983986092</v>
          </cell>
          <cell r="N16">
            <v>291</v>
          </cell>
          <cell r="O16">
            <v>301</v>
          </cell>
          <cell r="P16">
            <v>3.4364261168385042</v>
          </cell>
          <cell r="Q16">
            <v>106</v>
          </cell>
          <cell r="R16">
            <v>110</v>
          </cell>
          <cell r="S16">
            <v>3.7735849056603712</v>
          </cell>
          <cell r="T16">
            <v>63.573883161512029</v>
          </cell>
          <cell r="U16">
            <v>63.455149501661126</v>
          </cell>
          <cell r="V16">
            <v>-0.11873365985090345</v>
          </cell>
          <cell r="W16">
            <v>5338</v>
          </cell>
          <cell r="X16">
            <v>5542</v>
          </cell>
        </row>
        <row r="17">
          <cell r="A17" t="str">
            <v>PB</v>
          </cell>
          <cell r="B17">
            <v>2962</v>
          </cell>
          <cell r="C17">
            <v>3134</v>
          </cell>
          <cell r="D17">
            <v>5.8068872383524592</v>
          </cell>
          <cell r="E17">
            <v>2917</v>
          </cell>
          <cell r="F17">
            <v>3068</v>
          </cell>
          <cell r="G17">
            <v>5.1765512512855736</v>
          </cell>
          <cell r="H17">
            <v>1987</v>
          </cell>
          <cell r="I17">
            <v>2147</v>
          </cell>
          <cell r="J17">
            <v>8.0523402113739309</v>
          </cell>
          <cell r="K17">
            <v>31.882070620500514</v>
          </cell>
          <cell r="L17">
            <v>30.019556714471975</v>
          </cell>
          <cell r="M17">
            <v>-1.8625139060285392</v>
          </cell>
          <cell r="N17">
            <v>503</v>
          </cell>
          <cell r="O17">
            <v>273</v>
          </cell>
          <cell r="P17">
            <v>-45.725646123260432</v>
          </cell>
          <cell r="Q17">
            <v>164</v>
          </cell>
          <cell r="R17">
            <v>177</v>
          </cell>
          <cell r="S17">
            <v>7.9268292682926926</v>
          </cell>
          <cell r="T17">
            <v>67.395626242544722</v>
          </cell>
          <cell r="U17">
            <v>35.164835164835168</v>
          </cell>
          <cell r="V17">
            <v>-32.230791077709554</v>
          </cell>
          <cell r="W17">
            <v>9453</v>
          </cell>
          <cell r="X17">
            <v>9613</v>
          </cell>
        </row>
        <row r="18">
          <cell r="A18" t="str">
            <v>PE</v>
          </cell>
          <cell r="B18">
            <v>5230</v>
          </cell>
          <cell r="C18">
            <v>5504.8</v>
          </cell>
          <cell r="D18">
            <v>5.2543021032504811</v>
          </cell>
          <cell r="E18">
            <v>4917</v>
          </cell>
          <cell r="F18">
            <v>5056.8</v>
          </cell>
          <cell r="G18">
            <v>2.8431970713849779</v>
          </cell>
          <cell r="H18">
            <v>3772</v>
          </cell>
          <cell r="I18">
            <v>3907</v>
          </cell>
          <cell r="J18">
            <v>3.5790031813361765</v>
          </cell>
          <cell r="K18">
            <v>23.286556843603819</v>
          </cell>
          <cell r="L18">
            <v>22.737699731055216</v>
          </cell>
          <cell r="M18">
            <v>-0.54885711254860325</v>
          </cell>
          <cell r="N18">
            <v>575</v>
          </cell>
          <cell r="O18">
            <v>537</v>
          </cell>
          <cell r="P18">
            <v>-6.6086956521739069</v>
          </cell>
          <cell r="Q18">
            <v>355</v>
          </cell>
          <cell r="R18">
            <v>332</v>
          </cell>
          <cell r="S18">
            <v>-6.4788732394366235</v>
          </cell>
          <cell r="T18">
            <v>38.260869565217391</v>
          </cell>
          <cell r="U18">
            <v>38.175046554934823</v>
          </cell>
          <cell r="V18">
            <v>-8.5823010282567225E-2</v>
          </cell>
          <cell r="W18">
            <v>17862</v>
          </cell>
          <cell r="X18">
            <v>18275</v>
          </cell>
        </row>
        <row r="19">
          <cell r="A19" t="str">
            <v>PI</v>
          </cell>
          <cell r="B19">
            <v>1495</v>
          </cell>
          <cell r="C19">
            <v>1641</v>
          </cell>
          <cell r="D19">
            <v>9.7658862876254204</v>
          </cell>
          <cell r="E19">
            <v>1462</v>
          </cell>
          <cell r="F19">
            <v>1599</v>
          </cell>
          <cell r="G19">
            <v>9.3707250341997366</v>
          </cell>
          <cell r="H19">
            <v>1085</v>
          </cell>
          <cell r="I19">
            <v>1196</v>
          </cell>
          <cell r="J19">
            <v>10.230414746543786</v>
          </cell>
          <cell r="K19">
            <v>25.786593707250333</v>
          </cell>
          <cell r="L19">
            <v>25.203252032520325</v>
          </cell>
          <cell r="M19">
            <v>-0.58334167473000775</v>
          </cell>
          <cell r="N19">
            <v>266</v>
          </cell>
          <cell r="O19">
            <v>275</v>
          </cell>
          <cell r="P19">
            <v>3.383458646616532</v>
          </cell>
          <cell r="Q19">
            <v>150</v>
          </cell>
          <cell r="R19">
            <v>155</v>
          </cell>
          <cell r="S19">
            <v>3.3333333333333428</v>
          </cell>
          <cell r="T19">
            <v>43.609022556390975</v>
          </cell>
          <cell r="U19">
            <v>43.63636363636364</v>
          </cell>
          <cell r="V19">
            <v>2.7341079972664772E-2</v>
          </cell>
          <cell r="W19">
            <v>4578</v>
          </cell>
          <cell r="X19">
            <v>4798</v>
          </cell>
        </row>
        <row r="20">
          <cell r="A20" t="str">
            <v>RN</v>
          </cell>
          <cell r="B20">
            <v>2626</v>
          </cell>
          <cell r="C20">
            <v>2816</v>
          </cell>
          <cell r="D20">
            <v>7.2353389185072245</v>
          </cell>
          <cell r="E20">
            <v>2582</v>
          </cell>
          <cell r="F20">
            <v>2736</v>
          </cell>
          <cell r="G20">
            <v>5.9643687064291413</v>
          </cell>
          <cell r="H20">
            <v>1813</v>
          </cell>
          <cell r="I20">
            <v>1896</v>
          </cell>
          <cell r="J20">
            <v>4.5780474351902996</v>
          </cell>
          <cell r="K20">
            <v>29.783113865220756</v>
          </cell>
          <cell r="L20">
            <v>30.701754385964904</v>
          </cell>
          <cell r="M20">
            <v>0.91864052074414815</v>
          </cell>
          <cell r="N20">
            <v>305</v>
          </cell>
          <cell r="O20">
            <v>316</v>
          </cell>
          <cell r="P20">
            <v>3.6065573770491852</v>
          </cell>
          <cell r="Q20">
            <v>135</v>
          </cell>
          <cell r="R20">
            <v>140</v>
          </cell>
          <cell r="S20">
            <v>3.7037037037036953</v>
          </cell>
          <cell r="T20">
            <v>55.73770491803279</v>
          </cell>
          <cell r="U20">
            <v>55.696202531645575</v>
          </cell>
          <cell r="V20">
            <v>-4.150238638721504E-2</v>
          </cell>
          <cell r="W20">
            <v>9778</v>
          </cell>
          <cell r="X20">
            <v>10132</v>
          </cell>
        </row>
        <row r="21">
          <cell r="A21" t="str">
            <v>SE</v>
          </cell>
          <cell r="B21">
            <v>1553</v>
          </cell>
          <cell r="C21">
            <v>1633</v>
          </cell>
          <cell r="D21">
            <v>5.1513200257566041</v>
          </cell>
          <cell r="E21">
            <v>1525</v>
          </cell>
          <cell r="F21">
            <v>1599</v>
          </cell>
          <cell r="G21">
            <v>4.8524590163934391</v>
          </cell>
          <cell r="H21">
            <v>1075</v>
          </cell>
          <cell r="I21">
            <v>1141</v>
          </cell>
          <cell r="J21">
            <v>6.1395348837209269</v>
          </cell>
          <cell r="K21">
            <v>29.508196721311478</v>
          </cell>
          <cell r="L21">
            <v>28.642901813633529</v>
          </cell>
          <cell r="M21">
            <v>-0.86529490767794925</v>
          </cell>
          <cell r="N21">
            <v>175</v>
          </cell>
          <cell r="O21">
            <v>172</v>
          </cell>
          <cell r="P21">
            <v>-1.7142857142857082</v>
          </cell>
          <cell r="Q21">
            <v>104</v>
          </cell>
          <cell r="R21">
            <v>102</v>
          </cell>
          <cell r="S21">
            <v>-1.923076923076934</v>
          </cell>
          <cell r="T21">
            <v>40.571428571428569</v>
          </cell>
          <cell r="U21">
            <v>40.697674418604649</v>
          </cell>
          <cell r="V21">
            <v>0.12624584717607945</v>
          </cell>
          <cell r="W21">
            <v>6685</v>
          </cell>
          <cell r="X21">
            <v>6758</v>
          </cell>
        </row>
        <row r="22">
          <cell r="A22" t="str">
            <v>Soma(NE)</v>
          </cell>
          <cell r="B22">
            <v>29364</v>
          </cell>
          <cell r="C22">
            <v>31167.1</v>
          </cell>
          <cell r="D22">
            <v>6.1405121917994734</v>
          </cell>
          <cell r="E22">
            <v>27973</v>
          </cell>
          <cell r="F22">
            <v>29392.1</v>
          </cell>
          <cell r="G22">
            <v>5.0731062095592137</v>
          </cell>
          <cell r="H22">
            <v>19573</v>
          </cell>
          <cell r="I22">
            <v>20701</v>
          </cell>
          <cell r="J22">
            <v>5.7630409237214621</v>
          </cell>
          <cell r="K22">
            <v>30.028956493761839</v>
          </cell>
          <cell r="L22">
            <v>29.569510174502668</v>
          </cell>
          <cell r="M22">
            <v>-0.45944631925917179</v>
          </cell>
          <cell r="N22">
            <v>3692</v>
          </cell>
          <cell r="O22">
            <v>3510</v>
          </cell>
          <cell r="P22">
            <v>-4.9295774647887356</v>
          </cell>
          <cell r="Q22">
            <v>1814</v>
          </cell>
          <cell r="R22">
            <v>1846</v>
          </cell>
          <cell r="S22">
            <v>1.7640573318632846</v>
          </cell>
          <cell r="T22">
            <v>50.866738894907911</v>
          </cell>
          <cell r="U22">
            <v>47.407407407407412</v>
          </cell>
          <cell r="V22">
            <v>-3.4593314875004992</v>
          </cell>
          <cell r="W22">
            <v>90307</v>
          </cell>
          <cell r="X22">
            <v>92529</v>
          </cell>
        </row>
        <row r="23">
          <cell r="A23" t="str">
            <v>DF</v>
          </cell>
          <cell r="B23">
            <v>6599</v>
          </cell>
          <cell r="C23">
            <v>6845.6</v>
          </cell>
          <cell r="D23">
            <v>3.7369298378542339</v>
          </cell>
          <cell r="E23">
            <v>6155</v>
          </cell>
          <cell r="F23">
            <v>6318.6</v>
          </cell>
          <cell r="G23">
            <v>2.6580016246953875</v>
          </cell>
          <cell r="H23">
            <v>4526</v>
          </cell>
          <cell r="I23">
            <v>4639</v>
          </cell>
          <cell r="J23">
            <v>2.4966858152894389</v>
          </cell>
          <cell r="K23">
            <v>26.466287571080429</v>
          </cell>
          <cell r="L23">
            <v>26.581837748868423</v>
          </cell>
          <cell r="M23">
            <v>0.11555017778799481</v>
          </cell>
          <cell r="N23">
            <v>766</v>
          </cell>
          <cell r="O23">
            <v>804</v>
          </cell>
          <cell r="P23">
            <v>4.9608355091383771</v>
          </cell>
          <cell r="Q23">
            <v>335</v>
          </cell>
          <cell r="R23">
            <v>352</v>
          </cell>
          <cell r="S23">
            <v>5.0746268656716325</v>
          </cell>
          <cell r="T23">
            <v>56.266318537859007</v>
          </cell>
          <cell r="U23">
            <v>56.218905472636813</v>
          </cell>
          <cell r="V23">
            <v>-4.7413065222194462E-2</v>
          </cell>
          <cell r="W23">
            <v>17553</v>
          </cell>
          <cell r="X23">
            <v>17781</v>
          </cell>
        </row>
        <row r="24">
          <cell r="A24" t="str">
            <v>GO</v>
          </cell>
          <cell r="B24">
            <v>5057</v>
          </cell>
          <cell r="C24">
            <v>5336</v>
          </cell>
          <cell r="D24">
            <v>5.5171050029661899</v>
          </cell>
          <cell r="E24">
            <v>4893</v>
          </cell>
          <cell r="F24">
            <v>5100</v>
          </cell>
          <cell r="G24">
            <v>4.2305334150827747</v>
          </cell>
          <cell r="H24">
            <v>3610</v>
          </cell>
          <cell r="I24">
            <v>3658</v>
          </cell>
          <cell r="J24">
            <v>1.3296398891966703</v>
          </cell>
          <cell r="K24">
            <v>26.22113222971592</v>
          </cell>
          <cell r="L24">
            <v>28.274509803921561</v>
          </cell>
          <cell r="M24">
            <v>2.0533775742056406</v>
          </cell>
          <cell r="N24">
            <v>697</v>
          </cell>
          <cell r="O24">
            <v>721</v>
          </cell>
          <cell r="P24">
            <v>3.4433285509325628</v>
          </cell>
          <cell r="Q24">
            <v>212</v>
          </cell>
          <cell r="R24">
            <v>219</v>
          </cell>
          <cell r="S24">
            <v>3.3018867924528195</v>
          </cell>
          <cell r="T24">
            <v>69.58393113342899</v>
          </cell>
          <cell r="U24">
            <v>69.625520110957012</v>
          </cell>
          <cell r="V24">
            <v>4.1588977528022042E-2</v>
          </cell>
          <cell r="W24">
            <v>30060</v>
          </cell>
          <cell r="X24">
            <v>30625</v>
          </cell>
        </row>
        <row r="25">
          <cell r="A25" t="str">
            <v>MS</v>
          </cell>
          <cell r="B25">
            <v>3591</v>
          </cell>
          <cell r="C25">
            <v>3649</v>
          </cell>
          <cell r="D25">
            <v>1.6151489835700517</v>
          </cell>
          <cell r="E25">
            <v>3539</v>
          </cell>
          <cell r="F25">
            <v>3554</v>
          </cell>
          <cell r="G25">
            <v>0.4238485447866509</v>
          </cell>
          <cell r="H25">
            <v>2213</v>
          </cell>
          <cell r="I25">
            <v>2261</v>
          </cell>
          <cell r="J25">
            <v>2.1690013556258521</v>
          </cell>
          <cell r="K25">
            <v>37.468211359141002</v>
          </cell>
          <cell r="L25">
            <v>36.381541924592007</v>
          </cell>
          <cell r="M25">
            <v>-1.0866694345489947</v>
          </cell>
          <cell r="N25">
            <v>663</v>
          </cell>
          <cell r="O25">
            <v>686</v>
          </cell>
          <cell r="P25">
            <v>3.4690799396681911</v>
          </cell>
          <cell r="Q25">
            <v>312</v>
          </cell>
          <cell r="R25">
            <v>323</v>
          </cell>
          <cell r="S25">
            <v>3.5256410256410362</v>
          </cell>
          <cell r="T25">
            <v>52.941176470588239</v>
          </cell>
          <cell r="U25">
            <v>52.915451895043731</v>
          </cell>
          <cell r="V25">
            <v>-2.5724575544508355E-2</v>
          </cell>
          <cell r="W25">
            <v>21900</v>
          </cell>
          <cell r="X25">
            <v>21491</v>
          </cell>
        </row>
        <row r="26">
          <cell r="A26" t="str">
            <v>MT</v>
          </cell>
          <cell r="B26">
            <v>3382</v>
          </cell>
          <cell r="C26">
            <v>3626</v>
          </cell>
          <cell r="D26">
            <v>7.2146658781785789</v>
          </cell>
          <cell r="E26">
            <v>3350</v>
          </cell>
          <cell r="F26">
            <v>3563</v>
          </cell>
          <cell r="G26">
            <v>6.3582089552238727</v>
          </cell>
          <cell r="H26">
            <v>2595</v>
          </cell>
          <cell r="I26">
            <v>2733</v>
          </cell>
          <cell r="J26">
            <v>5.3179190751445162</v>
          </cell>
          <cell r="K26">
            <v>22.53731343283583</v>
          </cell>
          <cell r="L26">
            <v>23.294976143699131</v>
          </cell>
          <cell r="M26">
            <v>0.7576627108633005</v>
          </cell>
          <cell r="N26">
            <v>615</v>
          </cell>
          <cell r="O26">
            <v>643</v>
          </cell>
          <cell r="P26">
            <v>4.5528455284552791</v>
          </cell>
          <cell r="Q26">
            <v>274</v>
          </cell>
          <cell r="R26">
            <v>286</v>
          </cell>
          <cell r="S26">
            <v>4.379562043795616</v>
          </cell>
          <cell r="T26">
            <v>55.447154471544714</v>
          </cell>
          <cell r="U26">
            <v>55.520995334370141</v>
          </cell>
          <cell r="V26">
            <v>7.3840862825427678E-2</v>
          </cell>
          <cell r="W26">
            <v>33327</v>
          </cell>
          <cell r="X26">
            <v>34391</v>
          </cell>
        </row>
        <row r="27">
          <cell r="A27" t="str">
            <v>Soma(CO)</v>
          </cell>
          <cell r="B27">
            <v>18629</v>
          </cell>
          <cell r="C27">
            <v>19456.599999999999</v>
          </cell>
          <cell r="D27">
            <v>4.4425358312308703</v>
          </cell>
          <cell r="E27">
            <v>17937</v>
          </cell>
          <cell r="F27">
            <v>18535.599999999999</v>
          </cell>
          <cell r="G27">
            <v>3.3372358811395486</v>
          </cell>
          <cell r="H27">
            <v>12944</v>
          </cell>
          <cell r="I27">
            <v>13291</v>
          </cell>
          <cell r="J27">
            <v>2.6807787391841771</v>
          </cell>
          <cell r="K27">
            <v>27.836315994870944</v>
          </cell>
          <cell r="L27">
            <v>28.294740930965261</v>
          </cell>
          <cell r="M27">
            <v>0.45842493609431756</v>
          </cell>
          <cell r="N27">
            <v>2741</v>
          </cell>
          <cell r="O27">
            <v>2854</v>
          </cell>
          <cell r="P27">
            <v>4.1225829989055143</v>
          </cell>
          <cell r="Q27">
            <v>1133</v>
          </cell>
          <cell r="R27">
            <v>1180</v>
          </cell>
          <cell r="S27">
            <v>4.1482789055604599</v>
          </cell>
          <cell r="T27">
            <v>58.66472090477928</v>
          </cell>
          <cell r="U27">
            <v>58.654519971969165</v>
          </cell>
          <cell r="V27">
            <v>-1.0200932810114693E-2</v>
          </cell>
          <cell r="W27">
            <v>102840</v>
          </cell>
          <cell r="X27">
            <v>104288</v>
          </cell>
        </row>
        <row r="28">
          <cell r="A28" t="str">
            <v>ES</v>
          </cell>
          <cell r="B28">
            <v>3816</v>
          </cell>
          <cell r="C28">
            <v>4055</v>
          </cell>
          <cell r="D28">
            <v>6.2631027253668776</v>
          </cell>
          <cell r="E28">
            <v>3749</v>
          </cell>
          <cell r="F28">
            <v>3960</v>
          </cell>
          <cell r="G28">
            <v>5.6281675113363434</v>
          </cell>
          <cell r="H28">
            <v>3385</v>
          </cell>
          <cell r="I28">
            <v>3688</v>
          </cell>
          <cell r="J28">
            <v>8.9512555391432898</v>
          </cell>
          <cell r="K28">
            <v>9.7092558015470729</v>
          </cell>
          <cell r="L28">
            <v>6.868686868686865</v>
          </cell>
          <cell r="M28">
            <v>-2.840568932860208</v>
          </cell>
          <cell r="N28">
            <v>457</v>
          </cell>
          <cell r="O28">
            <v>484</v>
          </cell>
          <cell r="P28">
            <v>5.9080962800875341</v>
          </cell>
          <cell r="Q28">
            <v>334</v>
          </cell>
          <cell r="R28">
            <v>341</v>
          </cell>
          <cell r="S28">
            <v>2.0958083832335319</v>
          </cell>
          <cell r="T28">
            <v>26.914660831509849</v>
          </cell>
          <cell r="U28">
            <v>29.545454545454547</v>
          </cell>
          <cell r="V28">
            <v>2.6307937139446977</v>
          </cell>
          <cell r="W28">
            <v>14858</v>
          </cell>
          <cell r="X28">
            <v>15329</v>
          </cell>
        </row>
        <row r="29">
          <cell r="A29" t="str">
            <v>MG</v>
          </cell>
          <cell r="B29">
            <v>16767</v>
          </cell>
          <cell r="C29">
            <v>17458</v>
          </cell>
          <cell r="D29">
            <v>4.1211904335897884</v>
          </cell>
          <cell r="E29">
            <v>16171</v>
          </cell>
          <cell r="F29">
            <v>16749</v>
          </cell>
          <cell r="G29">
            <v>3.5742996722528062</v>
          </cell>
          <cell r="H29">
            <v>11936</v>
          </cell>
          <cell r="I29">
            <v>12616</v>
          </cell>
          <cell r="J29">
            <v>5.6970509383378101</v>
          </cell>
          <cell r="K29">
            <v>26.188856595139441</v>
          </cell>
          <cell r="L29">
            <v>24.67610006567557</v>
          </cell>
          <cell r="M29">
            <v>-1.5127565294638714</v>
          </cell>
          <cell r="N29">
            <v>1781</v>
          </cell>
          <cell r="O29">
            <v>1892</v>
          </cell>
          <cell r="P29">
            <v>6.2324536777091453</v>
          </cell>
          <cell r="Q29">
            <v>1073</v>
          </cell>
          <cell r="R29">
            <v>1140</v>
          </cell>
          <cell r="S29">
            <v>6.2441752096924432</v>
          </cell>
          <cell r="T29">
            <v>39.752947782144865</v>
          </cell>
          <cell r="U29">
            <v>39.746300211416482</v>
          </cell>
          <cell r="V29">
            <v>-6.6475707283828456E-3</v>
          </cell>
          <cell r="W29">
            <v>56243</v>
          </cell>
          <cell r="X29">
            <v>56998</v>
          </cell>
        </row>
        <row r="30">
          <cell r="A30" t="str">
            <v>RJ</v>
          </cell>
          <cell r="B30">
            <v>21006</v>
          </cell>
          <cell r="C30">
            <v>21599.333333333332</v>
          </cell>
          <cell r="D30">
            <v>2.8245897997397407</v>
          </cell>
          <cell r="E30">
            <v>18113</v>
          </cell>
          <cell r="F30">
            <v>18095.333333333332</v>
          </cell>
          <cell r="G30">
            <v>-9.7535839820395154E-2</v>
          </cell>
          <cell r="H30">
            <v>12784</v>
          </cell>
          <cell r="I30">
            <v>13063</v>
          </cell>
          <cell r="J30">
            <v>2.1824155193992425</v>
          </cell>
          <cell r="K30">
            <v>29.420857947330646</v>
          </cell>
          <cell r="L30">
            <v>27.810116788858991</v>
          </cell>
          <cell r="M30">
            <v>-1.6107411584716544</v>
          </cell>
          <cell r="N30">
            <v>2812</v>
          </cell>
          <cell r="O30">
            <v>2932</v>
          </cell>
          <cell r="P30">
            <v>4.2674253200569012</v>
          </cell>
          <cell r="Q30">
            <v>1558</v>
          </cell>
          <cell r="R30">
            <v>1624</v>
          </cell>
          <cell r="S30">
            <v>4.2362002567394086</v>
          </cell>
          <cell r="T30">
            <v>44.594594594594597</v>
          </cell>
          <cell r="U30">
            <v>44.611186903137792</v>
          </cell>
          <cell r="V30">
            <v>1.65923085431956E-2</v>
          </cell>
          <cell r="W30">
            <v>53770</v>
          </cell>
          <cell r="X30">
            <v>59576</v>
          </cell>
        </row>
        <row r="31">
          <cell r="A31" t="str">
            <v>SP</v>
          </cell>
          <cell r="B31">
            <v>64529</v>
          </cell>
          <cell r="C31">
            <v>67388</v>
          </cell>
          <cell r="D31">
            <v>4.4305661020626275</v>
          </cell>
          <cell r="E31">
            <v>60926</v>
          </cell>
          <cell r="F31">
            <v>63009</v>
          </cell>
          <cell r="G31">
            <v>3.4189016183566991</v>
          </cell>
          <cell r="H31">
            <v>43802</v>
          </cell>
          <cell r="I31">
            <v>46627</v>
          </cell>
          <cell r="J31">
            <v>6.4494771928222576</v>
          </cell>
          <cell r="K31">
            <v>28.106227226471461</v>
          </cell>
          <cell r="L31">
            <v>25.999460394546816</v>
          </cell>
          <cell r="M31">
            <v>-2.1067668319246451</v>
          </cell>
          <cell r="N31">
            <v>7955</v>
          </cell>
          <cell r="O31">
            <v>8228</v>
          </cell>
          <cell r="P31">
            <v>3.4318038969201723</v>
          </cell>
          <cell r="Q31">
            <v>4424</v>
          </cell>
          <cell r="R31">
            <v>4576</v>
          </cell>
          <cell r="S31">
            <v>3.4358047016274753</v>
          </cell>
          <cell r="T31">
            <v>44.387177875549966</v>
          </cell>
          <cell r="U31">
            <v>44.385026737967912</v>
          </cell>
          <cell r="V31">
            <v>-2.1511375820537637E-3</v>
          </cell>
          <cell r="W31">
            <v>342251</v>
          </cell>
          <cell r="X31">
            <v>348775</v>
          </cell>
        </row>
        <row r="32">
          <cell r="A32" t="str">
            <v>Soma(SE)</v>
          </cell>
          <cell r="B32">
            <v>106118</v>
          </cell>
          <cell r="C32">
            <v>110500.33333333333</v>
          </cell>
          <cell r="D32">
            <v>4.1296795391293983</v>
          </cell>
          <cell r="E32">
            <v>98959</v>
          </cell>
          <cell r="F32">
            <v>101813.33333333333</v>
          </cell>
          <cell r="G32">
            <v>2.8843595158937916</v>
          </cell>
          <cell r="H32">
            <v>71907</v>
          </cell>
          <cell r="I32">
            <v>75994</v>
          </cell>
          <cell r="J32">
            <v>5.6837303739552425</v>
          </cell>
          <cell r="K32">
            <v>27.336573732555905</v>
          </cell>
          <cell r="L32">
            <v>25.359481403876373</v>
          </cell>
          <cell r="M32">
            <v>-1.9770923286795323</v>
          </cell>
          <cell r="N32">
            <v>13005</v>
          </cell>
          <cell r="O32">
            <v>13536</v>
          </cell>
          <cell r="P32">
            <v>4.083044982698965</v>
          </cell>
          <cell r="Q32">
            <v>7389</v>
          </cell>
          <cell r="R32">
            <v>7681</v>
          </cell>
          <cell r="S32">
            <v>3.9518202733793544</v>
          </cell>
          <cell r="T32">
            <v>43.183391003460201</v>
          </cell>
          <cell r="U32">
            <v>43.255023640661939</v>
          </cell>
          <cell r="V32">
            <v>7.1632637201737737E-2</v>
          </cell>
          <cell r="W32">
            <v>467122</v>
          </cell>
          <cell r="X32">
            <v>480678</v>
          </cell>
        </row>
        <row r="33">
          <cell r="A33" t="str">
            <v>PR</v>
          </cell>
          <cell r="B33">
            <v>14079</v>
          </cell>
          <cell r="C33">
            <v>14181</v>
          </cell>
          <cell r="D33">
            <v>0.72448327295973058</v>
          </cell>
          <cell r="E33">
            <v>13761</v>
          </cell>
          <cell r="F33">
            <v>13769</v>
          </cell>
          <cell r="G33">
            <v>5.8135309933888379E-2</v>
          </cell>
          <cell r="H33">
            <v>10300</v>
          </cell>
          <cell r="I33">
            <v>9552</v>
          </cell>
          <cell r="J33">
            <v>-7.2621359223300885</v>
          </cell>
          <cell r="K33">
            <v>25.150788460140987</v>
          </cell>
          <cell r="L33">
            <v>30.626770281066158</v>
          </cell>
          <cell r="M33">
            <v>5.4759818209251705</v>
          </cell>
          <cell r="N33">
            <v>2799</v>
          </cell>
          <cell r="O33">
            <v>2791</v>
          </cell>
          <cell r="P33">
            <v>-0.28581636298677893</v>
          </cell>
          <cell r="Q33">
            <v>1500</v>
          </cell>
          <cell r="R33">
            <v>1303</v>
          </cell>
          <cell r="S33">
            <v>-13.133333333333326</v>
          </cell>
          <cell r="T33">
            <v>46.40943193997856</v>
          </cell>
          <cell r="U33">
            <v>53.31422429236833</v>
          </cell>
          <cell r="V33">
            <v>6.9047923523897694</v>
          </cell>
          <cell r="W33">
            <v>78904</v>
          </cell>
          <cell r="X33">
            <v>74309</v>
          </cell>
        </row>
        <row r="34">
          <cell r="A34" t="str">
            <v>RS</v>
          </cell>
          <cell r="B34">
            <v>17463</v>
          </cell>
          <cell r="C34">
            <v>18041</v>
          </cell>
          <cell r="D34">
            <v>3.3098551222584973</v>
          </cell>
          <cell r="E34">
            <v>16877</v>
          </cell>
          <cell r="F34">
            <v>16889</v>
          </cell>
          <cell r="G34">
            <v>7.1102684126330473E-2</v>
          </cell>
          <cell r="H34">
            <v>12750</v>
          </cell>
          <cell r="I34">
            <v>12768</v>
          </cell>
          <cell r="J34">
            <v>0.141176470588249</v>
          </cell>
          <cell r="K34">
            <v>24.453398115778867</v>
          </cell>
          <cell r="L34">
            <v>24.400497365148908</v>
          </cell>
          <cell r="M34">
            <v>-5.2900750629959248E-2</v>
          </cell>
          <cell r="N34">
            <v>2828</v>
          </cell>
          <cell r="O34">
            <v>2927</v>
          </cell>
          <cell r="P34">
            <v>3.5007072135784938</v>
          </cell>
          <cell r="Q34">
            <v>1556</v>
          </cell>
          <cell r="R34">
            <v>1610</v>
          </cell>
          <cell r="S34">
            <v>3.470437017994854</v>
          </cell>
          <cell r="T34">
            <v>44.97878359264498</v>
          </cell>
          <cell r="U34">
            <v>44.994875298940897</v>
          </cell>
          <cell r="V34">
            <v>1.6091706295917163E-2</v>
          </cell>
          <cell r="W34">
            <v>93772</v>
          </cell>
          <cell r="X34">
            <v>94432</v>
          </cell>
        </row>
        <row r="35">
          <cell r="A35" t="str">
            <v>SC</v>
          </cell>
          <cell r="B35">
            <v>11363</v>
          </cell>
          <cell r="C35">
            <v>11914</v>
          </cell>
          <cell r="D35">
            <v>4.849071548006691</v>
          </cell>
          <cell r="E35">
            <v>11143</v>
          </cell>
          <cell r="F35">
            <v>11626</v>
          </cell>
          <cell r="G35">
            <v>4.3345598133357299</v>
          </cell>
          <cell r="H35">
            <v>8610</v>
          </cell>
          <cell r="I35">
            <v>9121</v>
          </cell>
          <cell r="J35">
            <v>5.9349593495934982</v>
          </cell>
          <cell r="K35">
            <v>22.731759849232702</v>
          </cell>
          <cell r="L35">
            <v>21.546533631515558</v>
          </cell>
          <cell r="M35">
            <v>-1.185226217717144</v>
          </cell>
          <cell r="N35">
            <v>1841</v>
          </cell>
          <cell r="O35">
            <v>1905</v>
          </cell>
          <cell r="P35">
            <v>3.4763715372080384</v>
          </cell>
          <cell r="Q35">
            <v>988</v>
          </cell>
          <cell r="R35">
            <v>1022</v>
          </cell>
          <cell r="S35">
            <v>3.4412955465586919</v>
          </cell>
          <cell r="T35">
            <v>46.333514394350892</v>
          </cell>
          <cell r="U35">
            <v>46.351706036745412</v>
          </cell>
          <cell r="V35">
            <v>1.8191642394519647E-2</v>
          </cell>
          <cell r="W35">
            <v>60199</v>
          </cell>
          <cell r="X35">
            <v>61100</v>
          </cell>
        </row>
        <row r="36">
          <cell r="A36" t="str">
            <v>Soma(S)</v>
          </cell>
          <cell r="B36">
            <v>42905</v>
          </cell>
          <cell r="C36">
            <v>44136</v>
          </cell>
          <cell r="D36">
            <v>2.8691294720894973</v>
          </cell>
          <cell r="E36">
            <v>41781</v>
          </cell>
          <cell r="F36">
            <v>42284</v>
          </cell>
          <cell r="G36">
            <v>1.203896507982094</v>
          </cell>
          <cell r="H36">
            <v>31660</v>
          </cell>
          <cell r="I36">
            <v>31441</v>
          </cell>
          <cell r="J36">
            <v>-0.69172457359444195</v>
          </cell>
          <cell r="K36">
            <v>24.223929537349505</v>
          </cell>
          <cell r="L36">
            <v>25.64326932172925</v>
          </cell>
          <cell r="M36">
            <v>1.4193397843797442</v>
          </cell>
          <cell r="N36">
            <v>7468</v>
          </cell>
          <cell r="O36">
            <v>7623</v>
          </cell>
          <cell r="P36">
            <v>2.0755222281735257</v>
          </cell>
          <cell r="Q36">
            <v>4044</v>
          </cell>
          <cell r="R36">
            <v>3935</v>
          </cell>
          <cell r="S36">
            <v>-2.6953511374876342</v>
          </cell>
          <cell r="T36">
            <v>45.848955543652913</v>
          </cell>
          <cell r="U36">
            <v>48.379902925357463</v>
          </cell>
          <cell r="V36">
            <v>2.53094738170455</v>
          </cell>
          <cell r="W36">
            <v>232875</v>
          </cell>
          <cell r="X36">
            <v>229841</v>
          </cell>
        </row>
        <row r="37">
          <cell r="A37" t="str">
            <v xml:space="preserve">TOTAL </v>
          </cell>
          <cell r="B37">
            <v>205822</v>
          </cell>
          <cell r="C37">
            <v>214832.03333333333</v>
          </cell>
          <cell r="D37">
            <v>4.3775851625838413</v>
          </cell>
          <cell r="E37">
            <v>195299</v>
          </cell>
          <cell r="F37">
            <v>201348.03333333333</v>
          </cell>
          <cell r="G37">
            <v>3.0973191533665556</v>
          </cell>
          <cell r="H37">
            <v>141540</v>
          </cell>
          <cell r="I37">
            <v>147431</v>
          </cell>
          <cell r="J37">
            <v>4.1620743252790646</v>
          </cell>
          <cell r="K37">
            <v>27.526510632414912</v>
          </cell>
          <cell r="L37">
            <v>26.778028292967349</v>
          </cell>
          <cell r="M37">
            <v>-0.74848233944756259</v>
          </cell>
          <cell r="N37">
            <v>28484</v>
          </cell>
          <cell r="O37">
            <v>29174</v>
          </cell>
          <cell r="P37">
            <v>2.4224125825024601</v>
          </cell>
          <cell r="Q37">
            <v>14978</v>
          </cell>
          <cell r="R37">
            <v>15267</v>
          </cell>
          <cell r="S37">
            <v>1.9294965950060146</v>
          </cell>
          <cell r="T37">
            <v>47.416093245330714</v>
          </cell>
          <cell r="U37">
            <v>47.669157468979229</v>
          </cell>
          <cell r="V37">
            <v>0.253064223648515</v>
          </cell>
          <cell r="W37">
            <v>930349</v>
          </cell>
          <cell r="X37">
            <v>946291</v>
          </cell>
        </row>
      </sheetData>
      <sheetData sheetId="9" refreshError="1"/>
      <sheetData sheetId="10" refreshError="1"/>
      <sheetData sheetId="11">
        <row r="4">
          <cell r="A4" t="str">
            <v>RR</v>
          </cell>
          <cell r="B4">
            <v>200941.37000000002</v>
          </cell>
          <cell r="C4">
            <v>1192710</v>
          </cell>
          <cell r="D4">
            <v>991768.63</v>
          </cell>
          <cell r="E4">
            <v>17663.713483818698</v>
          </cell>
          <cell r="F4">
            <v>1009432.3434838187</v>
          </cell>
          <cell r="G4">
            <v>17640</v>
          </cell>
          <cell r="H4">
            <v>1027072.3434838187</v>
          </cell>
        </row>
        <row r="5">
          <cell r="A5" t="str">
            <v>AC</v>
          </cell>
          <cell r="B5">
            <v>499139.81999999995</v>
          </cell>
          <cell r="C5">
            <v>1192710</v>
          </cell>
          <cell r="D5">
            <v>693570.18</v>
          </cell>
          <cell r="E5">
            <v>43727.216057432452</v>
          </cell>
          <cell r="F5">
            <v>737297.39605743252</v>
          </cell>
          <cell r="G5">
            <v>17240</v>
          </cell>
          <cell r="H5">
            <v>754537.39605743252</v>
          </cell>
        </row>
        <row r="6">
          <cell r="A6" t="str">
            <v>AP</v>
          </cell>
          <cell r="B6">
            <v>636618.56400000001</v>
          </cell>
          <cell r="C6">
            <v>1192710</v>
          </cell>
          <cell r="D6">
            <v>556091.43599999999</v>
          </cell>
          <cell r="E6">
            <v>55594.014061690017</v>
          </cell>
          <cell r="F6">
            <v>611685.45006169006</v>
          </cell>
          <cell r="G6">
            <v>18040</v>
          </cell>
          <cell r="H6">
            <v>629725.45006169006</v>
          </cell>
        </row>
        <row r="7">
          <cell r="A7" t="str">
            <v>TO</v>
          </cell>
          <cell r="B7">
            <v>843287.91800000006</v>
          </cell>
          <cell r="C7">
            <v>1192710</v>
          </cell>
          <cell r="D7">
            <v>349422.08199999994</v>
          </cell>
          <cell r="E7">
            <v>74016.343321003063</v>
          </cell>
          <cell r="F7">
            <v>423438.42532100301</v>
          </cell>
          <cell r="G7">
            <v>12440</v>
          </cell>
          <cell r="H7">
            <v>435878.42532100301</v>
          </cell>
        </row>
        <row r="8">
          <cell r="A8" t="str">
            <v>MA</v>
          </cell>
        </row>
        <row r="9">
          <cell r="A9" t="str">
            <v>PI</v>
          </cell>
          <cell r="B9">
            <v>1025134.762</v>
          </cell>
          <cell r="C9">
            <v>1242407</v>
          </cell>
          <cell r="D9">
            <v>217272.23800000001</v>
          </cell>
          <cell r="E9">
            <v>89523.140336571523</v>
          </cell>
          <cell r="F9">
            <v>306795.37833657151</v>
          </cell>
          <cell r="G9">
            <v>16840</v>
          </cell>
          <cell r="H9">
            <v>323635.37833657151</v>
          </cell>
        </row>
        <row r="10">
          <cell r="A10" t="str">
            <v>SE</v>
          </cell>
          <cell r="B10">
            <v>1188123.594</v>
          </cell>
          <cell r="C10">
            <v>1242407</v>
          </cell>
          <cell r="D10">
            <v>54283.405999999959</v>
          </cell>
          <cell r="E10">
            <v>104151.98747385811</v>
          </cell>
          <cell r="F10">
            <v>158435.39347385807</v>
          </cell>
          <cell r="G10">
            <v>14440</v>
          </cell>
          <cell r="H10">
            <v>172875.39347385807</v>
          </cell>
        </row>
        <row r="13">
          <cell r="A13" t="str">
            <v>Sub Total</v>
          </cell>
          <cell r="B13">
            <v>4393246.0280000009</v>
          </cell>
          <cell r="C13">
            <v>7255654</v>
          </cell>
          <cell r="D13">
            <v>2862407.9720000001</v>
          </cell>
          <cell r="E13">
            <v>384676.41473437386</v>
          </cell>
          <cell r="F13">
            <v>3247084.3867343739</v>
          </cell>
          <cell r="G13">
            <v>96640</v>
          </cell>
          <cell r="H13">
            <v>3343724.3867343739</v>
          </cell>
        </row>
        <row r="14">
          <cell r="A14" t="str">
            <v>Gestão do Fundo de Apoio (10%)4</v>
          </cell>
          <cell r="D14">
            <v>189600.79720000003</v>
          </cell>
          <cell r="F14">
            <v>0</v>
          </cell>
          <cell r="G14">
            <v>0</v>
          </cell>
          <cell r="H14">
            <v>189600.79720000003</v>
          </cell>
        </row>
        <row r="15">
          <cell r="A15" t="str">
            <v>Total 1</v>
          </cell>
          <cell r="F15">
            <v>3247084.3867343739</v>
          </cell>
          <cell r="G15">
            <v>96640</v>
          </cell>
          <cell r="H15">
            <v>3533325.1839343738</v>
          </cell>
        </row>
        <row r="16">
          <cell r="A16" t="str">
            <v>MA</v>
          </cell>
          <cell r="B16">
            <v>1243874.6639999999</v>
          </cell>
          <cell r="C16">
            <v>1242407</v>
          </cell>
          <cell r="D16">
            <v>-1467.6639999998733</v>
          </cell>
          <cell r="E16">
            <v>108738.85945994173</v>
          </cell>
          <cell r="F16">
            <v>107271.19545994185</v>
          </cell>
          <cell r="G16">
            <v>17240</v>
          </cell>
          <cell r="H16">
            <v>124511.19545994185</v>
          </cell>
        </row>
      </sheetData>
      <sheetData sheetId="12">
        <row r="4">
          <cell r="A4" t="str">
            <v>SP</v>
          </cell>
          <cell r="B4">
            <v>54658046.024000004</v>
          </cell>
          <cell r="C4">
            <v>997466.6695633902</v>
          </cell>
        </row>
        <row r="5">
          <cell r="A5" t="str">
            <v>RS</v>
          </cell>
          <cell r="B5">
            <v>15038687.568000002</v>
          </cell>
          <cell r="C5">
            <v>274444.30773230823</v>
          </cell>
        </row>
        <row r="6">
          <cell r="A6" t="str">
            <v>PR</v>
          </cell>
          <cell r="B6">
            <v>11604275.961999999</v>
          </cell>
          <cell r="C6">
            <v>211768.97709494023</v>
          </cell>
        </row>
        <row r="7">
          <cell r="A7" t="str">
            <v>MG</v>
          </cell>
          <cell r="B7">
            <v>11451285.126</v>
          </cell>
          <cell r="C7">
            <v>208977.01377463364</v>
          </cell>
        </row>
        <row r="8">
          <cell r="A8" t="str">
            <v>RJ</v>
          </cell>
          <cell r="B8">
            <v>12378289.412</v>
          </cell>
          <cell r="C8">
            <v>225894.11830159381</v>
          </cell>
        </row>
        <row r="9">
          <cell r="A9" t="str">
            <v>SC</v>
          </cell>
          <cell r="B9">
            <v>9996964.7720000017</v>
          </cell>
          <cell r="C9">
            <v>182436.80267111809</v>
          </cell>
        </row>
        <row r="10">
          <cell r="A10" t="str">
            <v>MT</v>
          </cell>
          <cell r="B10">
            <v>4472583.3719999995</v>
          </cell>
          <cell r="C10">
            <v>81621.154888239675</v>
          </cell>
        </row>
        <row r="11">
          <cell r="A11" t="str">
            <v>GO</v>
          </cell>
          <cell r="B11">
            <v>4630274.75</v>
          </cell>
          <cell r="C11">
            <v>84498.899430433084</v>
          </cell>
        </row>
        <row r="12">
          <cell r="A12" t="str">
            <v>DF</v>
          </cell>
          <cell r="B12">
            <v>3993633.9599999995</v>
          </cell>
          <cell r="C12">
            <v>72880.70202486412</v>
          </cell>
        </row>
        <row r="13">
          <cell r="A13" t="str">
            <v>BA</v>
          </cell>
          <cell r="B13">
            <v>3996390.8820000002</v>
          </cell>
          <cell r="C13">
            <v>72931.013699093732</v>
          </cell>
        </row>
        <row r="14">
          <cell r="A14" t="str">
            <v>MS</v>
          </cell>
          <cell r="B14">
            <v>3271733.81</v>
          </cell>
          <cell r="C14">
            <v>59706.587859465071</v>
          </cell>
        </row>
        <row r="15">
          <cell r="A15" t="str">
            <v>PE</v>
          </cell>
          <cell r="B15">
            <v>3563859.6460000006</v>
          </cell>
          <cell r="C15">
            <v>65037.65631003493</v>
          </cell>
        </row>
        <row r="16">
          <cell r="A16" t="str">
            <v>ES</v>
          </cell>
          <cell r="B16">
            <v>3137923.5380000002</v>
          </cell>
          <cell r="C16">
            <v>57264.654858299888</v>
          </cell>
        </row>
        <row r="17">
          <cell r="A17" t="str">
            <v>CE</v>
          </cell>
          <cell r="B17">
            <v>2505306.6920000003</v>
          </cell>
          <cell r="C17">
            <v>45719.891289323386</v>
          </cell>
        </row>
        <row r="18">
          <cell r="A18" t="str">
            <v>PB</v>
          </cell>
          <cell r="B18">
            <v>1996613.2280000001</v>
          </cell>
          <cell r="C18">
            <v>36436.63269749692</v>
          </cell>
        </row>
        <row r="19">
          <cell r="A19" t="str">
            <v>RN</v>
          </cell>
          <cell r="B19">
            <v>1930315.5560000001</v>
          </cell>
          <cell r="C19">
            <v>35226.751940680093</v>
          </cell>
        </row>
        <row r="20">
          <cell r="A20" t="str">
            <v>PA</v>
          </cell>
          <cell r="B20">
            <v>1773670.7180000003</v>
          </cell>
          <cell r="C20">
            <v>32368.105936475167</v>
          </cell>
        </row>
        <row r="21">
          <cell r="A21" t="str">
            <v>RO</v>
          </cell>
          <cell r="B21">
            <v>1505351.2719999999</v>
          </cell>
          <cell r="C21">
            <v>27471.485518262714</v>
          </cell>
        </row>
        <row r="22">
          <cell r="A22" t="str">
            <v>AL</v>
          </cell>
          <cell r="B22">
            <v>1401930.0119999999</v>
          </cell>
          <cell r="C22">
            <v>25584.128262041868</v>
          </cell>
        </row>
        <row r="23">
          <cell r="A23" t="str">
            <v>AM</v>
          </cell>
          <cell r="B23">
            <v>1406114.8239999998</v>
          </cell>
          <cell r="C23">
            <v>25660.497814048096</v>
          </cell>
        </row>
        <row r="24">
          <cell r="A24" t="str">
            <v>SE</v>
          </cell>
          <cell r="B24">
            <v>1188123.594</v>
          </cell>
          <cell r="C24">
            <v>21682.328047667306</v>
          </cell>
        </row>
        <row r="25">
          <cell r="A25" t="str">
            <v>MA</v>
          </cell>
          <cell r="B25">
            <v>1243874.6639999999</v>
          </cell>
          <cell r="C25">
            <v>22699.741551492109</v>
          </cell>
        </row>
        <row r="26">
          <cell r="A26" t="str">
            <v>PI</v>
          </cell>
          <cell r="B26">
            <v>1025134.762</v>
          </cell>
          <cell r="C26">
            <v>18707.909105583629</v>
          </cell>
        </row>
        <row r="27">
          <cell r="A27" t="str">
            <v>TO</v>
          </cell>
          <cell r="B27">
            <v>843287.91800000006</v>
          </cell>
          <cell r="C27">
            <v>15389.346166549039</v>
          </cell>
        </row>
        <row r="28">
          <cell r="A28" t="str">
            <v>AP</v>
          </cell>
          <cell r="B28">
            <v>636618.56400000001</v>
          </cell>
          <cell r="C28">
            <v>11617.791798420327</v>
          </cell>
        </row>
        <row r="29">
          <cell r="A29" t="str">
            <v>AC</v>
          </cell>
          <cell r="B29">
            <v>499139.81999999995</v>
          </cell>
          <cell r="C29">
            <v>9108.9120471532424</v>
          </cell>
        </row>
        <row r="30">
          <cell r="A30" t="str">
            <v>RR</v>
          </cell>
          <cell r="B30">
            <v>200941.37000000002</v>
          </cell>
          <cell r="C30">
            <v>3667.0231318440547</v>
          </cell>
        </row>
        <row r="31">
          <cell r="A31" t="str">
            <v>Soma CAU/UF</v>
          </cell>
          <cell r="B31">
            <v>160350371.81600001</v>
          </cell>
          <cell r="C31">
            <v>2926269.1035154527</v>
          </cell>
        </row>
        <row r="32">
          <cell r="A32" t="str">
            <v xml:space="preserve"> CAU/BR </v>
          </cell>
          <cell r="B32">
            <v>40087592.954000004</v>
          </cell>
          <cell r="C32">
            <v>731567.27587886318</v>
          </cell>
        </row>
        <row r="33">
          <cell r="A33" t="str">
            <v>TOTAL</v>
          </cell>
          <cell r="B33">
            <v>200437964.77000001</v>
          </cell>
          <cell r="C33">
            <v>3657836.3793943161</v>
          </cell>
        </row>
      </sheetData>
      <sheetData sheetId="13">
        <row r="4">
          <cell r="A4" t="str">
            <v>AC</v>
          </cell>
          <cell r="B4">
            <v>499139.81999999995</v>
          </cell>
          <cell r="C4">
            <v>180.83605743244351</v>
          </cell>
          <cell r="D4">
            <v>39070.160000000003</v>
          </cell>
          <cell r="E4">
            <v>4476.22</v>
          </cell>
          <cell r="F4">
            <v>43727.216057432452</v>
          </cell>
        </row>
        <row r="5">
          <cell r="A5" t="str">
            <v>AM</v>
          </cell>
          <cell r="B5">
            <v>1406114.8239999998</v>
          </cell>
          <cell r="C5">
            <v>122.84021173293388</v>
          </cell>
          <cell r="D5">
            <v>110063.62</v>
          </cell>
          <cell r="E5">
            <v>12609.86</v>
          </cell>
          <cell r="F5">
            <v>122796.32021173293</v>
          </cell>
        </row>
        <row r="6">
          <cell r="A6" t="str">
            <v>AP</v>
          </cell>
          <cell r="B6">
            <v>636618.56400000001</v>
          </cell>
          <cell r="C6">
            <v>53.594061690019181</v>
          </cell>
          <cell r="D6">
            <v>49831.31</v>
          </cell>
          <cell r="E6">
            <v>5709.11</v>
          </cell>
          <cell r="F6">
            <v>55594.014061690017</v>
          </cell>
        </row>
        <row r="7">
          <cell r="A7" t="str">
            <v>PA</v>
          </cell>
          <cell r="B7">
            <v>1773670.7180000003</v>
          </cell>
          <cell r="C7">
            <v>354.09776844430104</v>
          </cell>
          <cell r="D7">
            <v>138834.04999999999</v>
          </cell>
          <cell r="E7">
            <v>15906.05</v>
          </cell>
          <cell r="F7">
            <v>155094.19776844428</v>
          </cell>
        </row>
        <row r="8">
          <cell r="A8" t="str">
            <v>RO</v>
          </cell>
          <cell r="B8">
            <v>1505351.2719999999</v>
          </cell>
          <cell r="C8">
            <v>399.45019198889133</v>
          </cell>
          <cell r="D8">
            <v>117831.35</v>
          </cell>
          <cell r="E8">
            <v>13499.8</v>
          </cell>
          <cell r="F8">
            <v>131730.60019198889</v>
          </cell>
        </row>
        <row r="9">
          <cell r="A9" t="str">
            <v>RR</v>
          </cell>
          <cell r="B9">
            <v>200941.37000000002</v>
          </cell>
          <cell r="C9">
            <v>133.01348381869767</v>
          </cell>
          <cell r="D9">
            <v>15728.68</v>
          </cell>
          <cell r="E9">
            <v>1802.02</v>
          </cell>
          <cell r="F9">
            <v>17663.713483818698</v>
          </cell>
        </row>
        <row r="10">
          <cell r="A10" t="str">
            <v>TO</v>
          </cell>
          <cell r="B10">
            <v>843287.91800000006</v>
          </cell>
          <cell r="C10">
            <v>445.49332100305588</v>
          </cell>
          <cell r="D10">
            <v>66008.350000000006</v>
          </cell>
          <cell r="E10">
            <v>7562.5</v>
          </cell>
          <cell r="F10">
            <v>74016.343321003063</v>
          </cell>
        </row>
        <row r="11">
          <cell r="A11" t="str">
            <v>Soma (N)</v>
          </cell>
          <cell r="B11">
            <v>6865124.4859999996</v>
          </cell>
          <cell r="C11">
            <v>1689.3250961103427</v>
          </cell>
          <cell r="D11">
            <v>537367.52</v>
          </cell>
          <cell r="E11">
            <v>61565.57</v>
          </cell>
          <cell r="F11">
            <v>600622.41509611032</v>
          </cell>
        </row>
        <row r="12">
          <cell r="A12" t="str">
            <v>AL</v>
          </cell>
          <cell r="B12">
            <v>1401930.0119999999</v>
          </cell>
          <cell r="C12">
            <v>397.90488483662341</v>
          </cell>
          <cell r="D12">
            <v>109736.05</v>
          </cell>
          <cell r="E12">
            <v>12572.33</v>
          </cell>
          <cell r="F12">
            <v>122706.28488483663</v>
          </cell>
        </row>
        <row r="13">
          <cell r="A13" t="str">
            <v>BA</v>
          </cell>
          <cell r="B13">
            <v>3996390.8820000002</v>
          </cell>
          <cell r="C13">
            <v>1761.5916192235993</v>
          </cell>
          <cell r="D13">
            <v>312817.45</v>
          </cell>
          <cell r="E13">
            <v>35839.129999999997</v>
          </cell>
          <cell r="F13">
            <v>350418.17161922361</v>
          </cell>
        </row>
        <row r="14">
          <cell r="A14" t="str">
            <v>CE</v>
          </cell>
          <cell r="B14">
            <v>2505306.6920000003</v>
          </cell>
          <cell r="C14">
            <v>1141.3615212906116</v>
          </cell>
          <cell r="D14">
            <v>196102.85</v>
          </cell>
          <cell r="E14">
            <v>22467.27</v>
          </cell>
          <cell r="F14">
            <v>219711.48152129061</v>
          </cell>
        </row>
        <row r="15">
          <cell r="A15" t="str">
            <v>MA</v>
          </cell>
          <cell r="B15">
            <v>1243874.6639999999</v>
          </cell>
          <cell r="C15">
            <v>219.67945994172348</v>
          </cell>
          <cell r="D15">
            <v>97364.27</v>
          </cell>
          <cell r="E15">
            <v>11154.91</v>
          </cell>
          <cell r="F15">
            <v>108738.85945994173</v>
          </cell>
        </row>
        <row r="16">
          <cell r="A16" t="str">
            <v>PB</v>
          </cell>
          <cell r="B16">
            <v>1996613.2280000001</v>
          </cell>
          <cell r="C16">
            <v>739.37093799837078</v>
          </cell>
          <cell r="D16">
            <v>156284.88</v>
          </cell>
          <cell r="E16">
            <v>17905.37</v>
          </cell>
          <cell r="F16">
            <v>174929.62093799838</v>
          </cell>
        </row>
        <row r="17">
          <cell r="A17" t="str">
            <v>PE</v>
          </cell>
          <cell r="B17">
            <v>3563859.6460000006</v>
          </cell>
          <cell r="C17">
            <v>1957.6231969866769</v>
          </cell>
          <cell r="D17">
            <v>278961.07</v>
          </cell>
          <cell r="E17">
            <v>31960.240000000002</v>
          </cell>
          <cell r="F17">
            <v>312878.93319698668</v>
          </cell>
        </row>
        <row r="18">
          <cell r="A18" t="str">
            <v>PI</v>
          </cell>
          <cell r="B18">
            <v>1025134.762</v>
          </cell>
          <cell r="C18">
            <v>87.450336571525384</v>
          </cell>
          <cell r="D18">
            <v>80242.41</v>
          </cell>
          <cell r="E18">
            <v>9193.2800000000007</v>
          </cell>
          <cell r="F18">
            <v>89523.140336571523</v>
          </cell>
        </row>
        <row r="19">
          <cell r="A19" t="str">
            <v>RN</v>
          </cell>
          <cell r="B19">
            <v>1930315.5560000001</v>
          </cell>
          <cell r="C19">
            <v>824.65550318224814</v>
          </cell>
          <cell r="D19">
            <v>151095.43</v>
          </cell>
          <cell r="E19">
            <v>17310.830000000002</v>
          </cell>
          <cell r="F19">
            <v>169230.91550318222</v>
          </cell>
        </row>
        <row r="20">
          <cell r="A20" t="str">
            <v>SE</v>
          </cell>
          <cell r="B20">
            <v>1188123.594</v>
          </cell>
          <cell r="C20">
            <v>496.68747385811355</v>
          </cell>
          <cell r="D20">
            <v>93000.36</v>
          </cell>
          <cell r="E20">
            <v>10654.94</v>
          </cell>
          <cell r="F20">
            <v>104151.98747385811</v>
          </cell>
        </row>
        <row r="21">
          <cell r="A21" t="str">
            <v>Soma (NE)</v>
          </cell>
          <cell r="B21">
            <v>18851549.036000002</v>
          </cell>
          <cell r="C21">
            <v>7626.324933889493</v>
          </cell>
          <cell r="D21">
            <v>1475604.77</v>
          </cell>
          <cell r="E21">
            <v>169058.3</v>
          </cell>
          <cell r="F21">
            <v>1652289.3949338896</v>
          </cell>
        </row>
        <row r="22">
          <cell r="A22" t="str">
            <v>DF</v>
          </cell>
          <cell r="B22">
            <v>3993633.9599999995</v>
          </cell>
          <cell r="C22">
            <v>6386.4969091312641</v>
          </cell>
          <cell r="D22">
            <v>312601.65000000002</v>
          </cell>
          <cell r="E22">
            <v>35814.400000000001</v>
          </cell>
          <cell r="F22">
            <v>354802.54690913128</v>
          </cell>
        </row>
        <row r="23">
          <cell r="A23" t="str">
            <v>GO</v>
          </cell>
          <cell r="B23">
            <v>4630274.75</v>
          </cell>
          <cell r="C23">
            <v>1789.9222503485112</v>
          </cell>
          <cell r="D23">
            <v>362434.7</v>
          </cell>
          <cell r="E23">
            <v>41523.72</v>
          </cell>
          <cell r="F23">
            <v>405748.34225034853</v>
          </cell>
        </row>
        <row r="24">
          <cell r="A24" t="str">
            <v>MS</v>
          </cell>
          <cell r="B24">
            <v>3271733.81</v>
          </cell>
          <cell r="C24">
            <v>895.07234046172925</v>
          </cell>
          <cell r="D24">
            <v>256094.92</v>
          </cell>
          <cell r="E24">
            <v>29340.49</v>
          </cell>
          <cell r="F24">
            <v>286330.48234046175</v>
          </cell>
        </row>
        <row r="25">
          <cell r="A25" t="str">
            <v>MT</v>
          </cell>
          <cell r="B25">
            <v>4472583.3719999995</v>
          </cell>
          <cell r="C25">
            <v>1919.1075869036363</v>
          </cell>
          <cell r="D25">
            <v>350091.41</v>
          </cell>
          <cell r="E25">
            <v>40109.56</v>
          </cell>
          <cell r="F25">
            <v>392120.07758690359</v>
          </cell>
        </row>
        <row r="26">
          <cell r="A26" t="str">
            <v>Soma (CO)</v>
          </cell>
          <cell r="B26">
            <v>16368225.891999999</v>
          </cell>
          <cell r="C26">
            <v>10990.599086845141</v>
          </cell>
          <cell r="D26">
            <v>1281222.6800000002</v>
          </cell>
          <cell r="E26">
            <v>146788.18</v>
          </cell>
          <cell r="F26">
            <v>1439001.4590868452</v>
          </cell>
        </row>
        <row r="27">
          <cell r="A27" t="str">
            <v>ES</v>
          </cell>
          <cell r="B27">
            <v>3137923.5380000002</v>
          </cell>
          <cell r="C27">
            <v>1417.0817792467783</v>
          </cell>
          <cell r="D27">
            <v>245620.93</v>
          </cell>
          <cell r="E27">
            <v>28140.5</v>
          </cell>
          <cell r="F27">
            <v>275178.51177924674</v>
          </cell>
        </row>
        <row r="28">
          <cell r="A28" t="str">
            <v>MG</v>
          </cell>
          <cell r="B28">
            <v>11451285.126</v>
          </cell>
          <cell r="C28">
            <v>8538.50101487746</v>
          </cell>
          <cell r="D28">
            <v>896349.2</v>
          </cell>
          <cell r="E28">
            <v>102693.67</v>
          </cell>
          <cell r="F28">
            <v>1007581.3710148775</v>
          </cell>
        </row>
        <row r="29">
          <cell r="A29" t="str">
            <v>RJ</v>
          </cell>
          <cell r="B29">
            <v>12378289.412</v>
          </cell>
          <cell r="C29">
            <v>16367.8582362047</v>
          </cell>
          <cell r="D29">
            <v>968910.45</v>
          </cell>
          <cell r="E29">
            <v>111006.93</v>
          </cell>
          <cell r="F29">
            <v>1096285.2382362047</v>
          </cell>
        </row>
        <row r="30">
          <cell r="A30" t="str">
            <v>SP</v>
          </cell>
          <cell r="B30">
            <v>54658046.024000004</v>
          </cell>
          <cell r="C30">
            <v>44919.398042656663</v>
          </cell>
          <cell r="D30">
            <v>4278357.87</v>
          </cell>
          <cell r="E30">
            <v>490166.43</v>
          </cell>
          <cell r="F30">
            <v>4813443.6980426563</v>
          </cell>
        </row>
        <row r="31">
          <cell r="A31" t="str">
            <v>Soma (SE)</v>
          </cell>
          <cell r="B31">
            <v>81625544.100000009</v>
          </cell>
          <cell r="C31">
            <v>71242.839072985604</v>
          </cell>
          <cell r="D31">
            <v>6389238.4500000002</v>
          </cell>
          <cell r="E31">
            <v>732007.54</v>
          </cell>
          <cell r="F31">
            <v>7192488.8290729858</v>
          </cell>
        </row>
        <row r="32">
          <cell r="A32" t="str">
            <v>PR</v>
          </cell>
          <cell r="B32">
            <v>11604275.961999999</v>
          </cell>
          <cell r="C32">
            <v>5825.5621197303753</v>
          </cell>
          <cell r="D32">
            <v>908324.56</v>
          </cell>
          <cell r="E32">
            <v>104065.68</v>
          </cell>
          <cell r="F32">
            <v>1018215.8021197305</v>
          </cell>
        </row>
        <row r="33">
          <cell r="A33" t="str">
            <v>RS</v>
          </cell>
          <cell r="B33">
            <v>15038687.568000002</v>
          </cell>
          <cell r="C33">
            <v>5538.8022811333849</v>
          </cell>
          <cell r="D33">
            <v>1177153.08</v>
          </cell>
          <cell r="E33">
            <v>134865.04</v>
          </cell>
          <cell r="F33">
            <v>1317556.9222811335</v>
          </cell>
        </row>
        <row r="34">
          <cell r="A34" t="str">
            <v>SC</v>
          </cell>
          <cell r="B34">
            <v>9996964.7720000017</v>
          </cell>
          <cell r="C34">
            <v>4158.1874093056567</v>
          </cell>
          <cell r="D34">
            <v>782512.29</v>
          </cell>
          <cell r="E34">
            <v>89651.51</v>
          </cell>
          <cell r="F34">
            <v>876321.98740930576</v>
          </cell>
        </row>
        <row r="35">
          <cell r="A35" t="str">
            <v>Soma (S)</v>
          </cell>
          <cell r="B35">
            <v>36639928.302000001</v>
          </cell>
          <cell r="C35">
            <v>15522.551810169418</v>
          </cell>
          <cell r="D35">
            <v>2867989.93</v>
          </cell>
          <cell r="E35">
            <v>328582.24</v>
          </cell>
          <cell r="F35">
            <v>3212094.7218101695</v>
          </cell>
        </row>
        <row r="36">
          <cell r="A36" t="str">
            <v>Soma CAU/UF</v>
          </cell>
          <cell r="B36">
            <v>160350371.81599998</v>
          </cell>
          <cell r="C36">
            <v>107071.64</v>
          </cell>
          <cell r="D36">
            <v>12551423.360200001</v>
          </cell>
          <cell r="E36">
            <v>1438001.82</v>
          </cell>
          <cell r="F36">
            <v>14096496.820200002</v>
          </cell>
        </row>
        <row r="37">
          <cell r="A37" t="str">
            <v xml:space="preserve"> CAU/BR </v>
          </cell>
          <cell r="B37">
            <v>40087592.954000004</v>
          </cell>
          <cell r="C37">
            <v>0</v>
          </cell>
          <cell r="D37">
            <v>3137855.84</v>
          </cell>
          <cell r="E37">
            <v>359500.46</v>
          </cell>
          <cell r="F37">
            <v>3497356.3</v>
          </cell>
        </row>
        <row r="38">
          <cell r="A38" t="str">
            <v>TOTAL</v>
          </cell>
          <cell r="B38">
            <v>200437964.76999998</v>
          </cell>
          <cell r="C38">
            <v>107071.64</v>
          </cell>
          <cell r="D38">
            <v>15689279.200200001</v>
          </cell>
          <cell r="E38">
            <v>1797502.28</v>
          </cell>
          <cell r="F38">
            <v>17593853.120200001</v>
          </cell>
        </row>
      </sheetData>
      <sheetData sheetId="14" refreshError="1"/>
      <sheetData sheetId="15" refreshError="1"/>
      <sheetData sheetId="16">
        <row r="10">
          <cell r="A10" t="str">
            <v>TO</v>
          </cell>
          <cell r="C10">
            <v>5193.9456658119079</v>
          </cell>
        </row>
        <row r="11">
          <cell r="A11" t="str">
            <v>Soma (N)</v>
          </cell>
          <cell r="C11">
            <v>5193.9456658119079</v>
          </cell>
        </row>
        <row r="12">
          <cell r="A12" t="str">
            <v>AL</v>
          </cell>
          <cell r="C12">
            <v>0</v>
          </cell>
        </row>
        <row r="13">
          <cell r="A13" t="str">
            <v>CE</v>
          </cell>
          <cell r="C13">
            <v>17423.81414516392</v>
          </cell>
        </row>
        <row r="14">
          <cell r="A14" t="str">
            <v>MA</v>
          </cell>
          <cell r="C14">
            <v>0</v>
          </cell>
        </row>
        <row r="15">
          <cell r="A15" t="str">
            <v>PB</v>
          </cell>
          <cell r="C15">
            <v>15265.447867322171</v>
          </cell>
        </row>
        <row r="16">
          <cell r="A16" t="str">
            <v>PE</v>
          </cell>
          <cell r="C16">
            <v>0</v>
          </cell>
        </row>
        <row r="17">
          <cell r="A17" t="str">
            <v>PI</v>
          </cell>
          <cell r="C17">
            <v>0</v>
          </cell>
        </row>
        <row r="18">
          <cell r="A18" t="str">
            <v>RN</v>
          </cell>
          <cell r="C18">
            <v>0</v>
          </cell>
        </row>
        <row r="19">
          <cell r="A19" t="str">
            <v>SE</v>
          </cell>
          <cell r="C19">
            <v>8095.1841845333583</v>
          </cell>
        </row>
        <row r="20">
          <cell r="A20" t="str">
            <v>Soma (NE)</v>
          </cell>
          <cell r="C20">
            <v>40784.446197019446</v>
          </cell>
        </row>
        <row r="21">
          <cell r="A21" t="str">
            <v>DF</v>
          </cell>
          <cell r="C21">
            <v>0</v>
          </cell>
        </row>
        <row r="22">
          <cell r="A22" t="str">
            <v>GO</v>
          </cell>
          <cell r="C22">
            <v>0</v>
          </cell>
        </row>
        <row r="23">
          <cell r="A23" t="str">
            <v>MS</v>
          </cell>
          <cell r="C23">
            <v>0</v>
          </cell>
        </row>
        <row r="24">
          <cell r="A24" t="str">
            <v>MT</v>
          </cell>
          <cell r="C24">
            <v>0</v>
          </cell>
        </row>
        <row r="25">
          <cell r="A25" t="str">
            <v>Soma (CO)</v>
          </cell>
          <cell r="C25">
            <v>0</v>
          </cell>
        </row>
        <row r="26">
          <cell r="A26" t="str">
            <v>ES</v>
          </cell>
          <cell r="C26">
            <v>0</v>
          </cell>
        </row>
        <row r="27">
          <cell r="A27" t="str">
            <v>MG</v>
          </cell>
          <cell r="C27">
            <v>0</v>
          </cell>
        </row>
        <row r="28">
          <cell r="A28" t="str">
            <v>RJ</v>
          </cell>
          <cell r="C28">
            <v>157897.52974945167</v>
          </cell>
        </row>
      </sheetData>
      <sheetData sheetId="17" refreshError="1"/>
      <sheetData sheetId="18">
        <row r="3">
          <cell r="A3" t="str">
            <v>AC</v>
          </cell>
          <cell r="B3">
            <v>10273.946515360003</v>
          </cell>
          <cell r="C3">
            <v>12626.988988380002</v>
          </cell>
          <cell r="D3">
            <v>2525.3977976760007</v>
          </cell>
        </row>
        <row r="4">
          <cell r="A4" t="str">
            <v>AM</v>
          </cell>
          <cell r="B4">
            <v>22947.530154450003</v>
          </cell>
          <cell r="C4">
            <v>28043.709373550002</v>
          </cell>
          <cell r="D4">
            <v>5608.741874710001</v>
          </cell>
        </row>
        <row r="5">
          <cell r="A5" t="str">
            <v>AP</v>
          </cell>
          <cell r="B5">
            <v>11167.568300680001</v>
          </cell>
          <cell r="C5">
            <v>13844.908558260004</v>
          </cell>
          <cell r="D5">
            <v>2768.9817116520007</v>
          </cell>
        </row>
        <row r="6">
          <cell r="A6" t="str">
            <v>PA</v>
          </cell>
          <cell r="B6">
            <v>32012.009496720006</v>
          </cell>
          <cell r="C6">
            <v>39362.573664050004</v>
          </cell>
          <cell r="D6">
            <v>7872.5147328100011</v>
          </cell>
        </row>
        <row r="7">
          <cell r="A7" t="str">
            <v xml:space="preserve">RO </v>
          </cell>
          <cell r="B7">
            <v>30055.276262000007</v>
          </cell>
          <cell r="C7">
            <v>28965.655895670003</v>
          </cell>
          <cell r="D7">
            <v>5793.1311791340013</v>
          </cell>
        </row>
        <row r="8">
          <cell r="A8" t="str">
            <v>RR</v>
          </cell>
          <cell r="B8">
            <v>3201.8552060000006</v>
          </cell>
          <cell r="C8">
            <v>3678.6778762500012</v>
          </cell>
          <cell r="D8">
            <v>735.73557525000024</v>
          </cell>
        </row>
        <row r="9">
          <cell r="A9" t="str">
            <v>TO</v>
          </cell>
          <cell r="B9">
            <v>15478.551646360003</v>
          </cell>
          <cell r="C9">
            <v>16706.353031810002</v>
          </cell>
          <cell r="D9">
            <v>3341.2706063620008</v>
          </cell>
        </row>
        <row r="10">
          <cell r="A10" t="str">
            <v>Soma (N)</v>
          </cell>
          <cell r="B10">
            <v>125136.73758157004</v>
          </cell>
          <cell r="C10">
            <v>143228.86738797001</v>
          </cell>
          <cell r="D10">
            <v>28645.773477594004</v>
          </cell>
        </row>
        <row r="11">
          <cell r="A11" t="str">
            <v>AL</v>
          </cell>
          <cell r="B11">
            <v>24653.017609880008</v>
          </cell>
          <cell r="C11">
            <v>29867.25615003</v>
          </cell>
          <cell r="D11">
            <v>5973.4512300060005</v>
          </cell>
        </row>
        <row r="12">
          <cell r="A12" t="str">
            <v>BA</v>
          </cell>
          <cell r="B12">
            <v>51714.570028000002</v>
          </cell>
          <cell r="C12">
            <v>67545.173877739988</v>
          </cell>
          <cell r="D12">
            <v>13509.034775547998</v>
          </cell>
        </row>
        <row r="13">
          <cell r="A13" t="str">
            <v>CE</v>
          </cell>
          <cell r="B13">
            <v>31191.999608000009</v>
          </cell>
          <cell r="C13">
            <v>44469.674799159999</v>
          </cell>
          <cell r="D13">
            <v>8893.9349598320005</v>
          </cell>
        </row>
        <row r="14">
          <cell r="A14" t="str">
            <v>MA</v>
          </cell>
          <cell r="B14">
            <v>15425.545366000002</v>
          </cell>
          <cell r="C14">
            <v>20239.625253120004</v>
          </cell>
          <cell r="D14">
            <v>4047.925050624001</v>
          </cell>
        </row>
        <row r="15">
          <cell r="A15" t="str">
            <v>PB</v>
          </cell>
          <cell r="B15">
            <v>33239.418734280007</v>
          </cell>
          <cell r="C15">
            <v>42986.176298259998</v>
          </cell>
          <cell r="D15">
            <v>8597.2352596519995</v>
          </cell>
        </row>
        <row r="16">
          <cell r="A16" t="str">
            <v>PE</v>
          </cell>
          <cell r="B16">
            <v>53804.788313320008</v>
          </cell>
          <cell r="C16">
            <v>68513.337999470008</v>
          </cell>
          <cell r="D16">
            <v>13702.667599894003</v>
          </cell>
        </row>
        <row r="17">
          <cell r="A17" t="str">
            <v>PI</v>
          </cell>
          <cell r="B17">
            <v>11533.63673</v>
          </cell>
          <cell r="C17">
            <v>16466.59531868</v>
          </cell>
          <cell r="D17">
            <v>3293.3190637360003</v>
          </cell>
        </row>
        <row r="18">
          <cell r="A18" t="str">
            <v>RN</v>
          </cell>
          <cell r="B18">
            <v>30959.995155320004</v>
          </cell>
          <cell r="C18">
            <v>37237.140392530004</v>
          </cell>
          <cell r="D18">
            <v>7447.4280785060009</v>
          </cell>
        </row>
        <row r="19">
          <cell r="A19" t="str">
            <v>SE</v>
          </cell>
          <cell r="B19">
            <v>22335.928703440008</v>
          </cell>
          <cell r="C19">
            <v>22133.907884139997</v>
          </cell>
          <cell r="D19">
            <v>4426.7815768279997</v>
          </cell>
        </row>
        <row r="20">
          <cell r="A20" t="str">
            <v>Soma (NE)</v>
          </cell>
          <cell r="B20">
            <v>274858.90024824004</v>
          </cell>
          <cell r="C20">
            <v>349458.88797312998</v>
          </cell>
          <cell r="D20">
            <v>69891.777594626008</v>
          </cell>
        </row>
        <row r="21">
          <cell r="A21" t="str">
            <v>DF</v>
          </cell>
          <cell r="B21">
            <v>69949.862541680006</v>
          </cell>
          <cell r="C21">
            <v>74430.443598549988</v>
          </cell>
          <cell r="D21">
            <v>14886.088719709998</v>
          </cell>
        </row>
        <row r="22">
          <cell r="A22" t="str">
            <v>GO</v>
          </cell>
          <cell r="B22">
            <v>95109.689942520024</v>
          </cell>
          <cell r="C22">
            <v>101222.83244787999</v>
          </cell>
          <cell r="D22">
            <v>20244.566489575998</v>
          </cell>
        </row>
        <row r="23">
          <cell r="A23" t="str">
            <v>MS</v>
          </cell>
          <cell r="B23">
            <v>66082.205218920019</v>
          </cell>
          <cell r="C23">
            <v>70943.464147790015</v>
          </cell>
          <cell r="D23">
            <v>14188.692829558004</v>
          </cell>
        </row>
        <row r="24">
          <cell r="A24" t="str">
            <v>MT</v>
          </cell>
          <cell r="B24">
            <v>90660.765789000026</v>
          </cell>
          <cell r="C24">
            <v>92696.869262139982</v>
          </cell>
          <cell r="D24">
            <v>18539.373852427998</v>
          </cell>
        </row>
        <row r="25">
          <cell r="A25" t="str">
            <v>Soma (CO)</v>
          </cell>
          <cell r="B25">
            <v>321802.52349212009</v>
          </cell>
          <cell r="C25">
            <v>339293.60945635999</v>
          </cell>
          <cell r="D25">
            <v>67858.721891271998</v>
          </cell>
        </row>
        <row r="26">
          <cell r="A26" t="str">
            <v>ES</v>
          </cell>
          <cell r="B26">
            <v>53915.499520079997</v>
          </cell>
          <cell r="C26">
            <v>59986.848617150019</v>
          </cell>
          <cell r="D26">
            <v>11997.369723430005</v>
          </cell>
        </row>
        <row r="27">
          <cell r="A27" t="str">
            <v>MG</v>
          </cell>
          <cell r="B27">
            <v>220423.00919759995</v>
          </cell>
          <cell r="C27">
            <v>238732.60702122003</v>
          </cell>
          <cell r="D27">
            <v>47746.521404244006</v>
          </cell>
        </row>
        <row r="28">
          <cell r="A28" t="str">
            <v>RJ</v>
          </cell>
          <cell r="B28">
            <v>151303.79888580006</v>
          </cell>
          <cell r="C28">
            <v>194237.56202981004</v>
          </cell>
          <cell r="D28">
            <v>38847.512405962007</v>
          </cell>
        </row>
        <row r="29">
          <cell r="A29" t="str">
            <v>SP</v>
          </cell>
          <cell r="B29">
            <v>806720.69195300003</v>
          </cell>
          <cell r="C29">
            <v>971258.49588963017</v>
          </cell>
          <cell r="D29">
            <v>194251.69917792606</v>
          </cell>
        </row>
        <row r="30">
          <cell r="A30" t="str">
            <v>Soma (SE)</v>
          </cell>
          <cell r="B30">
            <v>1232362.99955648</v>
          </cell>
          <cell r="C30">
            <v>1464215.5135578103</v>
          </cell>
          <cell r="D30">
            <v>292843.10271156207</v>
          </cell>
        </row>
        <row r="31">
          <cell r="A31" t="str">
            <v>PR</v>
          </cell>
          <cell r="B31">
            <v>266324.62000135204</v>
          </cell>
          <cell r="C31">
            <v>277880.01639801008</v>
          </cell>
          <cell r="D31">
            <v>55576.003279602017</v>
          </cell>
        </row>
        <row r="32">
          <cell r="A32" t="str">
            <v>RS</v>
          </cell>
          <cell r="B32">
            <v>288444.07268600015</v>
          </cell>
          <cell r="C32">
            <v>330970.34471033013</v>
          </cell>
          <cell r="D32">
            <v>66194.068942066035</v>
          </cell>
        </row>
        <row r="33">
          <cell r="A33" t="str">
            <v>SC</v>
          </cell>
          <cell r="B33">
            <v>197522.77843672005</v>
          </cell>
          <cell r="C33">
            <v>205803.09975992001</v>
          </cell>
          <cell r="D33">
            <v>41160.619951984001</v>
          </cell>
        </row>
        <row r="34">
          <cell r="A34" t="str">
            <v>Soma (S)</v>
          </cell>
          <cell r="B34">
            <v>752291.47112407221</v>
          </cell>
          <cell r="C34">
            <v>814653.46086826024</v>
          </cell>
          <cell r="D34">
            <v>162930.69217365206</v>
          </cell>
        </row>
        <row r="35">
          <cell r="A35" t="str">
            <v>Soma CAU/UF</v>
          </cell>
          <cell r="B35">
            <v>2706452.6320024827</v>
          </cell>
          <cell r="C35">
            <v>3110850.3392435308</v>
          </cell>
          <cell r="D35">
            <v>622170.06784870615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monstrativos 2020"/>
      <sheetName val="Demonstrativos (2)"/>
    </sheetNames>
    <sheetDataSet>
      <sheetData sheetId="0">
        <row r="6">
          <cell r="A6" t="str">
            <v>AC</v>
          </cell>
          <cell r="B6">
            <v>978773.19</v>
          </cell>
          <cell r="C6">
            <v>0</v>
          </cell>
          <cell r="D6">
            <v>811356.82</v>
          </cell>
          <cell r="E6">
            <v>0</v>
          </cell>
          <cell r="F6">
            <v>1084650.1100000001</v>
          </cell>
          <cell r="G6">
            <v>903622.42</v>
          </cell>
          <cell r="H6">
            <v>949922.82</v>
          </cell>
          <cell r="I6">
            <v>126023.94</v>
          </cell>
          <cell r="J6">
            <v>62435.71</v>
          </cell>
          <cell r="K6">
            <v>0</v>
          </cell>
          <cell r="L6">
            <v>1013511.05</v>
          </cell>
          <cell r="M6">
            <v>574550.11</v>
          </cell>
          <cell r="N6">
            <v>732116.46</v>
          </cell>
          <cell r="O6">
            <v>1010905.87</v>
          </cell>
          <cell r="P6">
            <v>990905.87</v>
          </cell>
          <cell r="Q6">
            <v>505048.81</v>
          </cell>
          <cell r="R6">
            <v>30055.47</v>
          </cell>
          <cell r="S6">
            <v>0</v>
          </cell>
          <cell r="T6">
            <v>0</v>
          </cell>
          <cell r="U6">
            <v>167416.37</v>
          </cell>
          <cell r="V6">
            <v>197471.83999999997</v>
          </cell>
          <cell r="W6">
            <v>167416.37</v>
          </cell>
          <cell r="X6">
            <v>181027.69000000006</v>
          </cell>
          <cell r="Y6">
            <v>669680.75</v>
          </cell>
        </row>
        <row r="7">
          <cell r="A7" t="str">
            <v>AL</v>
          </cell>
          <cell r="B7">
            <v>1232952.55</v>
          </cell>
          <cell r="C7">
            <v>0</v>
          </cell>
          <cell r="D7">
            <v>1020468.41</v>
          </cell>
          <cell r="E7">
            <v>688</v>
          </cell>
          <cell r="F7">
            <v>1527298.6</v>
          </cell>
          <cell r="G7">
            <v>1108782.44</v>
          </cell>
          <cell r="H7">
            <v>1287698.23</v>
          </cell>
          <cell r="I7">
            <v>760473.78</v>
          </cell>
          <cell r="J7">
            <v>42830.42</v>
          </cell>
          <cell r="K7">
            <v>0</v>
          </cell>
          <cell r="L7">
            <v>2005341.5899999999</v>
          </cell>
          <cell r="M7">
            <v>326613.36</v>
          </cell>
          <cell r="N7">
            <v>562393.9</v>
          </cell>
          <cell r="O7">
            <v>1171655.42</v>
          </cell>
          <cell r="P7">
            <v>1166655.42</v>
          </cell>
          <cell r="Q7">
            <v>622829.93000000005</v>
          </cell>
          <cell r="R7">
            <v>0</v>
          </cell>
          <cell r="S7">
            <v>60000</v>
          </cell>
          <cell r="T7">
            <v>0</v>
          </cell>
          <cell r="U7">
            <v>211796.14</v>
          </cell>
          <cell r="V7">
            <v>211796.14</v>
          </cell>
          <cell r="W7">
            <v>212484.14</v>
          </cell>
          <cell r="X7">
            <v>418516.16000000015</v>
          </cell>
          <cell r="Y7">
            <v>459563.48000000004</v>
          </cell>
        </row>
        <row r="8">
          <cell r="A8" t="str">
            <v>AM</v>
          </cell>
          <cell r="B8">
            <v>1241396.67</v>
          </cell>
          <cell r="C8">
            <v>0</v>
          </cell>
          <cell r="D8">
            <v>956882.46</v>
          </cell>
          <cell r="E8">
            <v>3756.83</v>
          </cell>
          <cell r="F8">
            <v>1463185.74</v>
          </cell>
          <cell r="G8">
            <v>1072854.67</v>
          </cell>
          <cell r="H8">
            <v>1723675.64</v>
          </cell>
          <cell r="I8">
            <v>212206.62</v>
          </cell>
          <cell r="J8">
            <v>75196.09</v>
          </cell>
          <cell r="K8">
            <v>0</v>
          </cell>
          <cell r="L8">
            <v>1860686.17</v>
          </cell>
          <cell r="M8">
            <v>853165.82</v>
          </cell>
          <cell r="N8">
            <v>1059255.3700000001</v>
          </cell>
          <cell r="O8">
            <v>1068946.6200000001</v>
          </cell>
          <cell r="P8">
            <v>1059146.6200000001</v>
          </cell>
          <cell r="Q8">
            <v>619869.86</v>
          </cell>
          <cell r="R8">
            <v>0</v>
          </cell>
          <cell r="S8">
            <v>0</v>
          </cell>
          <cell r="T8">
            <v>0</v>
          </cell>
          <cell r="U8">
            <v>280757.38</v>
          </cell>
          <cell r="V8">
            <v>280757.38</v>
          </cell>
          <cell r="W8">
            <v>284514.20999999996</v>
          </cell>
          <cell r="X8">
            <v>390331.07000000007</v>
          </cell>
          <cell r="Y8">
            <v>984059.28000000014</v>
          </cell>
        </row>
        <row r="9">
          <cell r="A9" t="str">
            <v>AP</v>
          </cell>
          <cell r="B9">
            <v>1038921.88</v>
          </cell>
          <cell r="C9">
            <v>0</v>
          </cell>
          <cell r="D9">
            <v>785057.71</v>
          </cell>
          <cell r="E9">
            <v>0</v>
          </cell>
          <cell r="F9">
            <v>1223891.3799999999</v>
          </cell>
          <cell r="G9">
            <v>826987.88</v>
          </cell>
          <cell r="H9">
            <v>1202391.98</v>
          </cell>
          <cell r="I9">
            <v>600585.04</v>
          </cell>
          <cell r="J9">
            <v>59267.76</v>
          </cell>
          <cell r="K9">
            <v>0</v>
          </cell>
          <cell r="L9">
            <v>1743709.26</v>
          </cell>
          <cell r="M9">
            <v>652916.73</v>
          </cell>
          <cell r="N9">
            <v>889023.08</v>
          </cell>
          <cell r="O9">
            <v>1000166.43</v>
          </cell>
          <cell r="P9">
            <v>988166.43</v>
          </cell>
          <cell r="Q9">
            <v>534649.97</v>
          </cell>
          <cell r="R9">
            <v>14809.21</v>
          </cell>
          <cell r="S9">
            <v>0</v>
          </cell>
          <cell r="T9">
            <v>0</v>
          </cell>
          <cell r="U9">
            <v>253864.17000000004</v>
          </cell>
          <cell r="V9">
            <v>268673.38000000012</v>
          </cell>
          <cell r="W9">
            <v>253864.17000000004</v>
          </cell>
          <cell r="X9">
            <v>396903.49999999988</v>
          </cell>
          <cell r="Y9">
            <v>829755.32</v>
          </cell>
        </row>
        <row r="10">
          <cell r="A10" t="str">
            <v>BA</v>
          </cell>
          <cell r="B10">
            <v>3454832.83</v>
          </cell>
          <cell r="C10">
            <v>0</v>
          </cell>
          <cell r="D10">
            <v>2151451.59</v>
          </cell>
          <cell r="E10">
            <v>15148</v>
          </cell>
          <cell r="F10">
            <v>4257378.78</v>
          </cell>
          <cell r="G10">
            <v>2466338.5</v>
          </cell>
          <cell r="H10">
            <v>8150127.0899999999</v>
          </cell>
          <cell r="I10">
            <v>357324.03</v>
          </cell>
          <cell r="J10">
            <v>289864.38</v>
          </cell>
          <cell r="K10">
            <v>0</v>
          </cell>
          <cell r="L10">
            <v>8217586.7400000002</v>
          </cell>
          <cell r="M10">
            <v>5137764.32</v>
          </cell>
          <cell r="N10">
            <v>6656763.6900000004</v>
          </cell>
          <cell r="O10">
            <v>2866289.87</v>
          </cell>
          <cell r="P10">
            <v>2836289.87</v>
          </cell>
          <cell r="Q10">
            <v>1594503.58</v>
          </cell>
          <cell r="R10">
            <v>0</v>
          </cell>
          <cell r="S10">
            <v>51922.5</v>
          </cell>
          <cell r="T10">
            <v>0</v>
          </cell>
          <cell r="U10">
            <v>1288233.2400000002</v>
          </cell>
          <cell r="V10">
            <v>1288233.2400000002</v>
          </cell>
          <cell r="W10">
            <v>1303381.2400000002</v>
          </cell>
          <cell r="X10">
            <v>1791040.2800000003</v>
          </cell>
          <cell r="Y10">
            <v>6314976.8100000005</v>
          </cell>
        </row>
        <row r="11">
          <cell r="A11" t="str">
            <v>CE</v>
          </cell>
          <cell r="B11">
            <v>2050345.81</v>
          </cell>
          <cell r="C11">
            <v>0</v>
          </cell>
          <cell r="D11">
            <v>1793009.97</v>
          </cell>
          <cell r="E11">
            <v>33292.07</v>
          </cell>
          <cell r="F11">
            <v>2215731.67</v>
          </cell>
          <cell r="G11">
            <v>1648539.46</v>
          </cell>
          <cell r="H11">
            <v>2445257.73</v>
          </cell>
          <cell r="I11">
            <v>158622.21</v>
          </cell>
          <cell r="J11">
            <v>185592.41</v>
          </cell>
          <cell r="K11">
            <v>2051.8000000000002</v>
          </cell>
          <cell r="L11">
            <v>2416235.73</v>
          </cell>
          <cell r="M11">
            <v>1215480.8400000001</v>
          </cell>
          <cell r="N11">
            <v>1578097.27</v>
          </cell>
          <cell r="O11">
            <v>2025319.23</v>
          </cell>
          <cell r="P11">
            <v>2044266.58</v>
          </cell>
          <cell r="Q11">
            <v>1226756.6000000001</v>
          </cell>
          <cell r="R11">
            <v>0</v>
          </cell>
          <cell r="S11">
            <v>205100</v>
          </cell>
          <cell r="T11">
            <v>105</v>
          </cell>
          <cell r="U11">
            <v>224043.77000000002</v>
          </cell>
          <cell r="V11">
            <v>224043.77000000002</v>
          </cell>
          <cell r="W11">
            <v>257335.84000000008</v>
          </cell>
          <cell r="X11">
            <v>567192.21</v>
          </cell>
          <cell r="Y11">
            <v>1187299.8600000001</v>
          </cell>
        </row>
        <row r="12">
          <cell r="A12" t="str">
            <v>DF</v>
          </cell>
          <cell r="B12">
            <v>3530642.54</v>
          </cell>
          <cell r="C12">
            <v>0</v>
          </cell>
          <cell r="D12">
            <v>2961158.13</v>
          </cell>
          <cell r="E12">
            <v>994956.11</v>
          </cell>
          <cell r="F12">
            <v>4292084.75</v>
          </cell>
          <cell r="G12">
            <v>3596089.73</v>
          </cell>
          <cell r="H12">
            <v>2846742.21</v>
          </cell>
          <cell r="I12">
            <v>1882602.73</v>
          </cell>
          <cell r="J12">
            <v>302714.06</v>
          </cell>
          <cell r="K12">
            <v>0</v>
          </cell>
          <cell r="L12">
            <v>4422630.88</v>
          </cell>
          <cell r="M12">
            <v>1861351</v>
          </cell>
          <cell r="N12">
            <v>1697822.2</v>
          </cell>
          <cell r="O12">
            <v>3211385.33</v>
          </cell>
          <cell r="P12">
            <v>3249106.63</v>
          </cell>
          <cell r="Q12">
            <v>1847377.09</v>
          </cell>
          <cell r="R12">
            <v>0</v>
          </cell>
          <cell r="S12">
            <v>374404.28</v>
          </cell>
          <cell r="T12">
            <v>0</v>
          </cell>
          <cell r="U12">
            <v>-425471.69999999972</v>
          </cell>
          <cell r="V12">
            <v>-425471.69999999972</v>
          </cell>
          <cell r="W12">
            <v>569484.41000000015</v>
          </cell>
          <cell r="X12">
            <v>695995.02</v>
          </cell>
          <cell r="Y12">
            <v>1020703.8599999999</v>
          </cell>
        </row>
        <row r="13">
          <cell r="A13" t="str">
            <v>ES</v>
          </cell>
          <cell r="B13">
            <v>2592986.4300000002</v>
          </cell>
          <cell r="C13">
            <v>0</v>
          </cell>
          <cell r="D13">
            <v>2016598.02</v>
          </cell>
          <cell r="E13">
            <v>8434</v>
          </cell>
          <cell r="F13">
            <v>2838894.52</v>
          </cell>
          <cell r="G13">
            <v>2157568.39</v>
          </cell>
          <cell r="H13">
            <v>2849086.05</v>
          </cell>
          <cell r="I13">
            <v>233413.04</v>
          </cell>
          <cell r="J13">
            <v>237456.77</v>
          </cell>
          <cell r="K13">
            <v>0</v>
          </cell>
          <cell r="L13">
            <v>2845042.32</v>
          </cell>
          <cell r="M13">
            <v>1744928.28</v>
          </cell>
          <cell r="N13">
            <v>2343872.7599999998</v>
          </cell>
          <cell r="O13">
            <v>2491483.12</v>
          </cell>
          <cell r="P13">
            <v>2456483.12</v>
          </cell>
          <cell r="Q13">
            <v>1323989.18</v>
          </cell>
          <cell r="R13">
            <v>0</v>
          </cell>
          <cell r="S13">
            <v>21233.34</v>
          </cell>
          <cell r="T13">
            <v>0</v>
          </cell>
          <cell r="U13">
            <v>567954.41000000015</v>
          </cell>
          <cell r="V13">
            <v>567954.41000000015</v>
          </cell>
          <cell r="W13">
            <v>576388.41000000015</v>
          </cell>
          <cell r="X13">
            <v>681326.12999999989</v>
          </cell>
          <cell r="Y13">
            <v>2085182.6499999997</v>
          </cell>
        </row>
        <row r="14">
          <cell r="A14" t="str">
            <v>GO</v>
          </cell>
          <cell r="B14">
            <v>4002082.27</v>
          </cell>
          <cell r="C14">
            <v>0</v>
          </cell>
          <cell r="D14">
            <v>2823433.91</v>
          </cell>
          <cell r="E14">
            <v>58369.63</v>
          </cell>
          <cell r="F14">
            <v>4551799.74</v>
          </cell>
          <cell r="G14">
            <v>3252818.05</v>
          </cell>
          <cell r="H14">
            <v>3787031.29</v>
          </cell>
          <cell r="I14">
            <v>2329825.85</v>
          </cell>
          <cell r="J14">
            <v>302075.14</v>
          </cell>
          <cell r="K14">
            <v>10392.209999999999</v>
          </cell>
          <cell r="L14">
            <v>5804389.79</v>
          </cell>
          <cell r="M14">
            <v>1189699</v>
          </cell>
          <cell r="N14">
            <v>2472301.44</v>
          </cell>
          <cell r="O14">
            <v>3296036</v>
          </cell>
          <cell r="P14">
            <v>3295636</v>
          </cell>
          <cell r="Q14">
            <v>1863190.03</v>
          </cell>
          <cell r="R14">
            <v>0</v>
          </cell>
          <cell r="S14">
            <v>154314.5</v>
          </cell>
          <cell r="T14">
            <v>0</v>
          </cell>
          <cell r="U14">
            <v>1120278.73</v>
          </cell>
          <cell r="V14">
            <v>1120278.73</v>
          </cell>
          <cell r="W14">
            <v>1178648.3599999999</v>
          </cell>
          <cell r="X14">
            <v>1298981.6900000004</v>
          </cell>
          <cell r="Y14">
            <v>2015911.7999999998</v>
          </cell>
        </row>
        <row r="15">
          <cell r="A15" t="str">
            <v>MA</v>
          </cell>
          <cell r="B15">
            <v>1212982.17</v>
          </cell>
          <cell r="C15">
            <v>0</v>
          </cell>
          <cell r="D15">
            <v>1052036.28</v>
          </cell>
          <cell r="E15">
            <v>13520</v>
          </cell>
          <cell r="F15">
            <v>1495133.16</v>
          </cell>
          <cell r="G15">
            <v>1304445.54</v>
          </cell>
          <cell r="H15">
            <v>646735.44999999995</v>
          </cell>
          <cell r="I15">
            <v>370288.29</v>
          </cell>
          <cell r="J15">
            <v>129228.68</v>
          </cell>
          <cell r="K15">
            <v>0</v>
          </cell>
          <cell r="L15">
            <v>887795.05999999994</v>
          </cell>
          <cell r="M15">
            <v>48589.91</v>
          </cell>
          <cell r="N15">
            <v>196547.11</v>
          </cell>
          <cell r="O15">
            <v>1148553.8600000001</v>
          </cell>
          <cell r="P15">
            <v>1126766.3500000001</v>
          </cell>
          <cell r="Q15">
            <v>667917.18000000005</v>
          </cell>
          <cell r="R15">
            <v>0</v>
          </cell>
          <cell r="S15">
            <v>0</v>
          </cell>
          <cell r="T15">
            <v>0</v>
          </cell>
          <cell r="U15">
            <v>147425.8899999999</v>
          </cell>
          <cell r="V15">
            <v>147425.8899999999</v>
          </cell>
          <cell r="W15">
            <v>160945.8899999999</v>
          </cell>
          <cell r="X15">
            <v>190687.61999999988</v>
          </cell>
          <cell r="Y15">
            <v>67318.429999999993</v>
          </cell>
        </row>
        <row r="16">
          <cell r="A16" t="str">
            <v>MG</v>
          </cell>
          <cell r="B16">
            <v>10326854</v>
          </cell>
          <cell r="C16">
            <v>0</v>
          </cell>
          <cell r="D16">
            <v>7006836.8099999996</v>
          </cell>
          <cell r="E16">
            <v>1699</v>
          </cell>
          <cell r="F16">
            <v>11477778.560000001</v>
          </cell>
          <cell r="G16">
            <v>7718927.0300000003</v>
          </cell>
          <cell r="H16">
            <v>13794536.65</v>
          </cell>
          <cell r="I16">
            <v>217015.83</v>
          </cell>
          <cell r="J16">
            <v>770508.4</v>
          </cell>
          <cell r="K16">
            <v>65350</v>
          </cell>
          <cell r="L16">
            <v>13175694.08</v>
          </cell>
          <cell r="M16">
            <v>6765524.3099999996</v>
          </cell>
          <cell r="N16">
            <v>10061787.939999999</v>
          </cell>
          <cell r="O16">
            <v>9279185.9800000004</v>
          </cell>
          <cell r="P16">
            <v>9174154.8800000008</v>
          </cell>
          <cell r="Q16">
            <v>4292388.7</v>
          </cell>
          <cell r="R16">
            <v>0</v>
          </cell>
          <cell r="S16">
            <v>0</v>
          </cell>
          <cell r="T16">
            <v>0</v>
          </cell>
          <cell r="U16">
            <v>3318318.1900000004</v>
          </cell>
          <cell r="V16">
            <v>3318318.1900000004</v>
          </cell>
          <cell r="W16">
            <v>3320017.1900000004</v>
          </cell>
          <cell r="X16">
            <v>3758851.5300000003</v>
          </cell>
          <cell r="Y16">
            <v>9291279.5399999991</v>
          </cell>
        </row>
        <row r="17">
          <cell r="A17" t="str">
            <v>MS</v>
          </cell>
          <cell r="B17">
            <v>2718177.3</v>
          </cell>
          <cell r="C17">
            <v>0</v>
          </cell>
          <cell r="D17">
            <v>2281383.7000000002</v>
          </cell>
          <cell r="E17">
            <v>20566.400000000001</v>
          </cell>
          <cell r="F17">
            <v>3341133.51</v>
          </cell>
          <cell r="G17">
            <v>2802841.46</v>
          </cell>
          <cell r="H17">
            <v>2083168.26</v>
          </cell>
          <cell r="I17">
            <v>655993.38</v>
          </cell>
          <cell r="J17">
            <v>307016.51</v>
          </cell>
          <cell r="K17">
            <v>0</v>
          </cell>
          <cell r="L17">
            <v>2432145.13</v>
          </cell>
          <cell r="M17">
            <v>586710.06000000006</v>
          </cell>
          <cell r="N17">
            <v>1044183.59</v>
          </cell>
          <cell r="O17">
            <v>2429192.9900000002</v>
          </cell>
          <cell r="P17">
            <v>2470932.46</v>
          </cell>
          <cell r="Q17">
            <v>1169315.46</v>
          </cell>
          <cell r="R17">
            <v>0</v>
          </cell>
          <cell r="S17">
            <v>21386.51</v>
          </cell>
          <cell r="T17"/>
          <cell r="U17">
            <v>416227.19999999972</v>
          </cell>
          <cell r="V17">
            <v>416227.19999999972</v>
          </cell>
          <cell r="W17">
            <v>436793.59999999963</v>
          </cell>
          <cell r="X17">
            <v>538292.04999999981</v>
          </cell>
          <cell r="Y17">
            <v>715780.57</v>
          </cell>
        </row>
        <row r="18">
          <cell r="A18" t="str">
            <v>MT</v>
          </cell>
          <cell r="B18">
            <v>3708941.44</v>
          </cell>
          <cell r="C18">
            <v>0</v>
          </cell>
          <cell r="D18">
            <v>2601941.2200000002</v>
          </cell>
          <cell r="E18">
            <v>68837.17</v>
          </cell>
          <cell r="F18">
            <v>4120554.01</v>
          </cell>
          <cell r="G18">
            <v>2878371.66</v>
          </cell>
          <cell r="H18">
            <v>2974045.01</v>
          </cell>
          <cell r="I18">
            <v>1849318.15</v>
          </cell>
          <cell r="J18">
            <v>117686.52</v>
          </cell>
          <cell r="K18">
            <v>162630.94</v>
          </cell>
          <cell r="L18">
            <v>4543045.7</v>
          </cell>
          <cell r="M18">
            <v>967982.22</v>
          </cell>
          <cell r="N18">
            <v>2003094.07</v>
          </cell>
          <cell r="O18">
            <v>3424511.65</v>
          </cell>
          <cell r="P18">
            <v>3600943.06</v>
          </cell>
          <cell r="Q18">
            <v>1304745.25</v>
          </cell>
          <cell r="R18">
            <v>0</v>
          </cell>
          <cell r="S18">
            <v>48434</v>
          </cell>
          <cell r="T18"/>
          <cell r="U18">
            <v>1038163.0499999998</v>
          </cell>
          <cell r="V18">
            <v>1038163.0499999998</v>
          </cell>
          <cell r="W18">
            <v>1107000.2199999997</v>
          </cell>
          <cell r="X18">
            <v>1242182.3499999996</v>
          </cell>
          <cell r="Y18">
            <v>1836973.55</v>
          </cell>
        </row>
        <row r="19">
          <cell r="A19" t="str">
            <v>PA</v>
          </cell>
          <cell r="B19">
            <v>1639966.33</v>
          </cell>
          <cell r="C19">
            <v>0</v>
          </cell>
          <cell r="D19">
            <v>1241333.3</v>
          </cell>
          <cell r="E19">
            <v>19692.7</v>
          </cell>
          <cell r="F19">
            <v>2193025.38</v>
          </cell>
          <cell r="G19">
            <v>1720990.3</v>
          </cell>
          <cell r="H19">
            <v>2451115.16</v>
          </cell>
          <cell r="I19">
            <v>1044025.74</v>
          </cell>
          <cell r="J19">
            <v>113897.14</v>
          </cell>
          <cell r="K19">
            <v>0</v>
          </cell>
          <cell r="L19">
            <v>3381243.76</v>
          </cell>
          <cell r="M19">
            <v>1043434.65</v>
          </cell>
          <cell r="N19">
            <v>1427496.1</v>
          </cell>
          <cell r="O19">
            <v>1299067.47</v>
          </cell>
          <cell r="P19">
            <v>1299067.47</v>
          </cell>
          <cell r="Q19">
            <v>760806.02</v>
          </cell>
          <cell r="R19">
            <v>0</v>
          </cell>
          <cell r="S19">
            <v>0</v>
          </cell>
          <cell r="T19"/>
          <cell r="U19">
            <v>378940.33000000007</v>
          </cell>
          <cell r="V19">
            <v>378940.33000000007</v>
          </cell>
          <cell r="W19">
            <v>398633.03</v>
          </cell>
          <cell r="X19">
            <v>472035.07999999984</v>
          </cell>
          <cell r="Y19">
            <v>1313598.9600000002</v>
          </cell>
        </row>
        <row r="20">
          <cell r="A20" t="str">
            <v>PB</v>
          </cell>
          <cell r="B20">
            <v>1738806.61</v>
          </cell>
          <cell r="C20">
            <v>0</v>
          </cell>
          <cell r="D20">
            <v>1268888.1100000001</v>
          </cell>
          <cell r="E20">
            <v>13740</v>
          </cell>
          <cell r="F20">
            <v>2147388.5299999998</v>
          </cell>
          <cell r="G20">
            <v>1309772.3600000001</v>
          </cell>
          <cell r="H20">
            <v>2266273.1</v>
          </cell>
          <cell r="I20">
            <v>78678.87</v>
          </cell>
          <cell r="J20">
            <v>89650.74</v>
          </cell>
          <cell r="K20">
            <v>15000</v>
          </cell>
          <cell r="L20">
            <v>2240301.23</v>
          </cell>
          <cell r="M20">
            <v>922378.88</v>
          </cell>
          <cell r="N20">
            <v>1378135.26</v>
          </cell>
          <cell r="O20">
            <v>1232272.78</v>
          </cell>
          <cell r="P20">
            <v>1422651.66</v>
          </cell>
          <cell r="Q20">
            <v>842664.59</v>
          </cell>
          <cell r="R20">
            <v>0</v>
          </cell>
          <cell r="S20">
            <v>0</v>
          </cell>
          <cell r="T20"/>
          <cell r="U20">
            <v>456178.5</v>
          </cell>
          <cell r="V20">
            <v>456178.5</v>
          </cell>
          <cell r="W20">
            <v>469918.5</v>
          </cell>
          <cell r="X20">
            <v>837616.16999999969</v>
          </cell>
          <cell r="Y20">
            <v>1288484.52</v>
          </cell>
        </row>
        <row r="21">
          <cell r="A21" t="str">
            <v>PE</v>
          </cell>
          <cell r="B21">
            <v>2943446.82</v>
          </cell>
          <cell r="C21">
            <v>0</v>
          </cell>
          <cell r="D21">
            <v>2613657.85</v>
          </cell>
          <cell r="E21">
            <v>0</v>
          </cell>
          <cell r="F21">
            <v>3147576.8</v>
          </cell>
          <cell r="G21">
            <v>2800473.4</v>
          </cell>
          <cell r="H21">
            <v>2341240.9500000002</v>
          </cell>
          <cell r="I21">
            <v>200633.49</v>
          </cell>
          <cell r="J21">
            <v>330011.31</v>
          </cell>
          <cell r="K21">
            <v>0</v>
          </cell>
          <cell r="L21">
            <v>2211863.13</v>
          </cell>
          <cell r="M21">
            <v>793889.42</v>
          </cell>
          <cell r="N21">
            <v>1111398.71</v>
          </cell>
          <cell r="O21">
            <v>2846692.76</v>
          </cell>
          <cell r="P21">
            <v>2846692.76</v>
          </cell>
          <cell r="Q21">
            <v>1425738.55</v>
          </cell>
          <cell r="R21">
            <v>0</v>
          </cell>
          <cell r="S21"/>
          <cell r="T21"/>
          <cell r="U21">
            <v>329788.96999999974</v>
          </cell>
          <cell r="V21">
            <v>329788.96999999974</v>
          </cell>
          <cell r="W21">
            <v>329788.96999999974</v>
          </cell>
          <cell r="X21">
            <v>347103.39999999991</v>
          </cell>
          <cell r="Y21">
            <v>781387.39999999991</v>
          </cell>
        </row>
        <row r="22">
          <cell r="A22" t="str">
            <v>PI</v>
          </cell>
          <cell r="B22">
            <v>1079212.19</v>
          </cell>
          <cell r="C22">
            <v>0</v>
          </cell>
          <cell r="D22">
            <v>949433.08</v>
          </cell>
          <cell r="E22">
            <v>0</v>
          </cell>
          <cell r="F22">
            <v>1251040.42</v>
          </cell>
          <cell r="G22">
            <v>1085098.58</v>
          </cell>
          <cell r="H22">
            <v>499880.94</v>
          </cell>
          <cell r="I22">
            <v>223313.72</v>
          </cell>
          <cell r="J22">
            <v>96582.95</v>
          </cell>
          <cell r="K22">
            <v>0</v>
          </cell>
          <cell r="L22">
            <v>626611.71</v>
          </cell>
          <cell r="M22">
            <v>69920.56</v>
          </cell>
          <cell r="N22">
            <v>198763.41</v>
          </cell>
          <cell r="O22">
            <v>967998.82</v>
          </cell>
          <cell r="P22">
            <v>967998.82</v>
          </cell>
          <cell r="Q22">
            <v>636026.77</v>
          </cell>
          <cell r="R22">
            <v>6734.37</v>
          </cell>
          <cell r="S22">
            <v>0</v>
          </cell>
          <cell r="T22"/>
          <cell r="U22">
            <v>129779.10999999999</v>
          </cell>
          <cell r="V22">
            <v>136513.4800000001</v>
          </cell>
          <cell r="W22">
            <v>129779.10999999999</v>
          </cell>
          <cell r="X22">
            <v>165941.83999999985</v>
          </cell>
          <cell r="Y22">
            <v>102180.46</v>
          </cell>
        </row>
        <row r="23">
          <cell r="A23" t="str">
            <v>PR</v>
          </cell>
          <cell r="B23">
            <v>11440515.41</v>
          </cell>
          <cell r="C23">
            <v>0</v>
          </cell>
          <cell r="D23">
            <v>8533386.6500000004</v>
          </cell>
          <cell r="E23">
            <v>68167.009999999995</v>
          </cell>
          <cell r="F23">
            <v>12720743</v>
          </cell>
          <cell r="G23">
            <v>9510350.8699999992</v>
          </cell>
          <cell r="H23">
            <v>17684062.649999999</v>
          </cell>
          <cell r="I23">
            <v>5929496.5700000003</v>
          </cell>
          <cell r="J23">
            <v>998855.31</v>
          </cell>
          <cell r="K23">
            <v>0</v>
          </cell>
          <cell r="L23">
            <v>22614703.91</v>
          </cell>
          <cell r="M23">
            <v>12336999.210000001</v>
          </cell>
          <cell r="N23">
            <v>15075623.26</v>
          </cell>
          <cell r="O23">
            <v>10305550.449999999</v>
          </cell>
          <cell r="P23">
            <v>10305550.449999999</v>
          </cell>
          <cell r="Q23">
            <v>4927779.68</v>
          </cell>
          <cell r="R23">
            <v>0</v>
          </cell>
          <cell r="S23">
            <v>185618.9</v>
          </cell>
          <cell r="T23">
            <v>13000</v>
          </cell>
          <cell r="U23">
            <v>2838961.75</v>
          </cell>
          <cell r="V23">
            <v>2838961.75</v>
          </cell>
          <cell r="W23">
            <v>2907128.76</v>
          </cell>
          <cell r="X23">
            <v>3210392.1300000008</v>
          </cell>
          <cell r="Y23">
            <v>13878149.049999999</v>
          </cell>
        </row>
        <row r="24">
          <cell r="A24" t="str">
            <v>RJ</v>
          </cell>
          <cell r="B24">
            <v>10251251.6</v>
          </cell>
          <cell r="C24">
            <v>0</v>
          </cell>
          <cell r="D24">
            <v>9505178.7200000007</v>
          </cell>
          <cell r="E24">
            <v>1509.21</v>
          </cell>
          <cell r="F24">
            <v>13164815.32</v>
          </cell>
          <cell r="G24">
            <v>9980989.7799999993</v>
          </cell>
          <cell r="H24">
            <v>11648752.300000001</v>
          </cell>
          <cell r="I24">
            <v>10417776.130000001</v>
          </cell>
          <cell r="J24">
            <v>1472931.88</v>
          </cell>
          <cell r="K24">
            <v>61933.11</v>
          </cell>
          <cell r="L24">
            <v>20531663.440000001</v>
          </cell>
          <cell r="M24">
            <v>7479123.2300000004</v>
          </cell>
          <cell r="N24">
            <v>7415886.79</v>
          </cell>
          <cell r="O24">
            <v>8780322.0099999998</v>
          </cell>
          <cell r="P24">
            <v>10203112.85</v>
          </cell>
          <cell r="Q24">
            <v>5924389.2800000003</v>
          </cell>
          <cell r="R24">
            <v>0</v>
          </cell>
          <cell r="S24"/>
          <cell r="T24"/>
          <cell r="U24">
            <v>744563.66999999806</v>
          </cell>
          <cell r="V24">
            <v>744563.66999999806</v>
          </cell>
          <cell r="W24">
            <v>746072.87999999896</v>
          </cell>
          <cell r="X24">
            <v>3183825.540000001</v>
          </cell>
          <cell r="Y24">
            <v>5942954.9100000001</v>
          </cell>
        </row>
        <row r="25">
          <cell r="A25" t="str">
            <v>RN</v>
          </cell>
          <cell r="B25">
            <v>1570186.73</v>
          </cell>
          <cell r="C25">
            <v>0</v>
          </cell>
          <cell r="D25">
            <v>1272751.75</v>
          </cell>
          <cell r="E25">
            <v>8143.44</v>
          </cell>
          <cell r="F25">
            <v>1895977.86</v>
          </cell>
          <cell r="G25">
            <v>1310507.01</v>
          </cell>
          <cell r="H25">
            <v>2125444.2000000002</v>
          </cell>
          <cell r="I25">
            <v>847440.98</v>
          </cell>
          <cell r="J25">
            <v>138451.01</v>
          </cell>
          <cell r="K25">
            <v>0</v>
          </cell>
          <cell r="L25">
            <v>2834434.17</v>
          </cell>
          <cell r="M25">
            <v>1018193.05</v>
          </cell>
          <cell r="N25">
            <v>1323412.1299999999</v>
          </cell>
          <cell r="O25">
            <v>1403515.82</v>
          </cell>
          <cell r="P25">
            <v>1380144.66</v>
          </cell>
          <cell r="Q25">
            <v>831400.59</v>
          </cell>
          <cell r="R25">
            <v>0</v>
          </cell>
          <cell r="S25">
            <v>56408.21</v>
          </cell>
          <cell r="T25">
            <v>2560.13</v>
          </cell>
          <cell r="U25">
            <v>289291.54000000004</v>
          </cell>
          <cell r="V25">
            <v>289291.54000000004</v>
          </cell>
          <cell r="W25">
            <v>297434.98</v>
          </cell>
          <cell r="X25">
            <v>585470.85000000009</v>
          </cell>
          <cell r="Y25">
            <v>1125992.78</v>
          </cell>
        </row>
        <row r="26">
          <cell r="A26" t="str">
            <v>RO</v>
          </cell>
          <cell r="B26">
            <v>1242378.4099999999</v>
          </cell>
          <cell r="C26">
            <v>0</v>
          </cell>
          <cell r="D26">
            <v>846642.24</v>
          </cell>
          <cell r="E26">
            <v>1900</v>
          </cell>
          <cell r="F26">
            <v>1463396.24</v>
          </cell>
          <cell r="G26">
            <v>1008843.94</v>
          </cell>
          <cell r="H26">
            <v>1422708.22</v>
          </cell>
          <cell r="I26">
            <v>301353.78999999998</v>
          </cell>
          <cell r="J26">
            <v>94551.72</v>
          </cell>
          <cell r="K26">
            <v>0</v>
          </cell>
          <cell r="L26">
            <v>1629510.29</v>
          </cell>
          <cell r="M26">
            <v>918275.65</v>
          </cell>
          <cell r="N26">
            <v>1301979.6100000001</v>
          </cell>
          <cell r="O26">
            <v>1077197.1599999999</v>
          </cell>
          <cell r="P26">
            <v>1151893.01</v>
          </cell>
          <cell r="Q26">
            <v>531767.51</v>
          </cell>
          <cell r="R26">
            <v>660.52</v>
          </cell>
          <cell r="S26">
            <v>0</v>
          </cell>
          <cell r="T26"/>
          <cell r="U26">
            <v>393836.16999999993</v>
          </cell>
          <cell r="V26">
            <v>394496.68999999994</v>
          </cell>
          <cell r="W26">
            <v>395736.16999999993</v>
          </cell>
          <cell r="X26">
            <v>454552.30000000005</v>
          </cell>
          <cell r="Y26">
            <v>1207427.8900000001</v>
          </cell>
        </row>
        <row r="27">
          <cell r="A27" t="str">
            <v>RR</v>
          </cell>
          <cell r="B27">
            <v>858801.16</v>
          </cell>
          <cell r="C27">
            <v>0</v>
          </cell>
          <cell r="D27">
            <v>824621.06</v>
          </cell>
          <cell r="E27">
            <v>8800</v>
          </cell>
          <cell r="F27">
            <v>911143.59</v>
          </cell>
          <cell r="G27">
            <v>830923.37</v>
          </cell>
          <cell r="H27">
            <v>401286.5</v>
          </cell>
          <cell r="I27">
            <v>49006.64</v>
          </cell>
          <cell r="J27">
            <v>70234.350000000006</v>
          </cell>
          <cell r="K27">
            <v>0</v>
          </cell>
          <cell r="L27">
            <v>380058.79</v>
          </cell>
          <cell r="M27">
            <v>281022.99</v>
          </cell>
          <cell r="N27">
            <v>315564.21999999997</v>
          </cell>
          <cell r="O27">
            <v>1036779.4</v>
          </cell>
          <cell r="P27">
            <v>1036779.4</v>
          </cell>
          <cell r="Q27">
            <v>531060.80000000005</v>
          </cell>
          <cell r="R27">
            <v>46758.89</v>
          </cell>
          <cell r="S27">
            <v>0</v>
          </cell>
          <cell r="T27"/>
          <cell r="U27">
            <v>25380.099999999977</v>
          </cell>
          <cell r="V27">
            <v>72138.989999999991</v>
          </cell>
          <cell r="W27">
            <v>34180.099999999977</v>
          </cell>
          <cell r="X27">
            <v>80220.219999999972</v>
          </cell>
          <cell r="Y27">
            <v>245329.86999999997</v>
          </cell>
        </row>
        <row r="28">
          <cell r="A28" t="str">
            <v>RS</v>
          </cell>
          <cell r="B28">
            <v>13407244.949999999</v>
          </cell>
          <cell r="C28">
            <v>0</v>
          </cell>
          <cell r="D28">
            <v>12064206.93</v>
          </cell>
          <cell r="E28">
            <v>137888.46</v>
          </cell>
          <cell r="F28">
            <v>15281360.35</v>
          </cell>
          <cell r="G28">
            <v>15047915.880000001</v>
          </cell>
          <cell r="H28">
            <v>23462217.460000001</v>
          </cell>
          <cell r="I28">
            <v>6154102.5999999996</v>
          </cell>
          <cell r="J28">
            <v>1627390.73</v>
          </cell>
          <cell r="K28">
            <v>65444.77</v>
          </cell>
          <cell r="L28">
            <v>27923484.559999999</v>
          </cell>
          <cell r="M28">
            <v>19270935.75</v>
          </cell>
          <cell r="N28">
            <v>20414293.493000001</v>
          </cell>
          <cell r="O28">
            <v>11746175.550000001</v>
          </cell>
          <cell r="P28">
            <v>13731728.550000001</v>
          </cell>
          <cell r="Q28">
            <v>7099682.5</v>
          </cell>
          <cell r="R28">
            <v>0</v>
          </cell>
          <cell r="S28">
            <v>178863.85</v>
          </cell>
          <cell r="T28">
            <v>720</v>
          </cell>
          <cell r="U28">
            <v>1205149.5599999987</v>
          </cell>
          <cell r="V28">
            <v>1205149.5599999987</v>
          </cell>
          <cell r="W28">
            <v>1343038.0199999996</v>
          </cell>
          <cell r="X28">
            <v>233444.46999999881</v>
          </cell>
          <cell r="Y28">
            <v>18607318.912999999</v>
          </cell>
        </row>
        <row r="29">
          <cell r="A29" t="str">
            <v>SC</v>
          </cell>
          <cell r="B29">
            <v>8299894.4699999997</v>
          </cell>
          <cell r="C29">
            <v>0</v>
          </cell>
          <cell r="D29">
            <v>6450602.8200000003</v>
          </cell>
          <cell r="E29">
            <v>75668.929999999993</v>
          </cell>
          <cell r="F29">
            <v>9603263.0299999993</v>
          </cell>
          <cell r="G29">
            <v>7454324.6900000004</v>
          </cell>
          <cell r="H29">
            <v>11761116.57</v>
          </cell>
          <cell r="I29">
            <v>384488.69</v>
          </cell>
          <cell r="J29">
            <v>550086.86</v>
          </cell>
          <cell r="K29">
            <v>3549.04</v>
          </cell>
          <cell r="L29">
            <v>11591969.359999999</v>
          </cell>
          <cell r="M29">
            <v>8042080.9299999997</v>
          </cell>
          <cell r="N29">
            <v>9383465.4800000004</v>
          </cell>
          <cell r="O29">
            <v>7666697.2199999997</v>
          </cell>
          <cell r="P29">
            <v>7602891.4500000002</v>
          </cell>
          <cell r="Q29">
            <v>4180962.19</v>
          </cell>
          <cell r="R29">
            <v>0</v>
          </cell>
          <cell r="S29">
            <v>133721.14000000001</v>
          </cell>
          <cell r="T29">
            <v>7119</v>
          </cell>
          <cell r="U29">
            <v>1773622.7199999997</v>
          </cell>
          <cell r="V29">
            <v>1773622.7199999997</v>
          </cell>
          <cell r="W29">
            <v>1849291.6499999994</v>
          </cell>
          <cell r="X29">
            <v>2148938.3399999989</v>
          </cell>
          <cell r="Y29">
            <v>8692538.4800000004</v>
          </cell>
        </row>
        <row r="30">
          <cell r="A30" t="str">
            <v>SE</v>
          </cell>
          <cell r="B30">
            <v>1160030.76</v>
          </cell>
          <cell r="C30">
            <v>0</v>
          </cell>
          <cell r="D30">
            <v>932841.53</v>
          </cell>
          <cell r="E30">
            <v>0</v>
          </cell>
          <cell r="F30">
            <v>1283829.73</v>
          </cell>
          <cell r="G30">
            <v>1015731.92</v>
          </cell>
          <cell r="H30">
            <v>1251466.07</v>
          </cell>
          <cell r="I30">
            <v>56335.040000000001</v>
          </cell>
          <cell r="J30">
            <v>77361.62</v>
          </cell>
          <cell r="K30">
            <v>0</v>
          </cell>
          <cell r="L30">
            <v>1230439.49</v>
          </cell>
          <cell r="M30">
            <v>642120.63</v>
          </cell>
          <cell r="N30">
            <v>855918.17</v>
          </cell>
          <cell r="O30">
            <v>875713.67</v>
          </cell>
          <cell r="P30">
            <v>950591.9</v>
          </cell>
          <cell r="Q30">
            <v>599729.43000000005</v>
          </cell>
          <cell r="R30">
            <v>2126.87</v>
          </cell>
          <cell r="S30">
            <v>0</v>
          </cell>
          <cell r="T30">
            <v>0</v>
          </cell>
          <cell r="U30">
            <v>227189.22999999998</v>
          </cell>
          <cell r="V30">
            <v>229316.10000000009</v>
          </cell>
          <cell r="W30">
            <v>227189.22999999998</v>
          </cell>
          <cell r="X30">
            <v>268097.80999999994</v>
          </cell>
          <cell r="Y30">
            <v>778556.55</v>
          </cell>
        </row>
        <row r="31">
          <cell r="A31" t="str">
            <v>SP</v>
          </cell>
          <cell r="B31">
            <v>47047479.229999997</v>
          </cell>
          <cell r="C31">
            <v>0</v>
          </cell>
          <cell r="D31">
            <v>33607488.43</v>
          </cell>
          <cell r="E31">
            <v>991855.95</v>
          </cell>
          <cell r="F31">
            <v>52820102.479999997</v>
          </cell>
          <cell r="G31">
            <v>41670623.32</v>
          </cell>
          <cell r="H31">
            <v>57578483.619999997</v>
          </cell>
          <cell r="I31">
            <v>42079472.009999998</v>
          </cell>
          <cell r="J31">
            <v>3930734.12</v>
          </cell>
          <cell r="K31">
            <v>795366</v>
          </cell>
          <cell r="L31">
            <v>94931855.510000005</v>
          </cell>
          <cell r="M31">
            <v>32993124.210000001</v>
          </cell>
          <cell r="N31">
            <v>42699542.170000002</v>
          </cell>
          <cell r="O31">
            <v>40072219</v>
          </cell>
          <cell r="P31">
            <v>46171987.649999999</v>
          </cell>
          <cell r="Q31">
            <v>17665082.030000001</v>
          </cell>
          <cell r="R31">
            <v>0</v>
          </cell>
          <cell r="S31">
            <v>0</v>
          </cell>
          <cell r="T31">
            <v>0</v>
          </cell>
          <cell r="U31">
            <v>12448134.849999994</v>
          </cell>
          <cell r="V31">
            <v>12448134.849999994</v>
          </cell>
          <cell r="W31">
            <v>13439990.799999997</v>
          </cell>
          <cell r="X31">
            <v>11149479.159999996</v>
          </cell>
          <cell r="Y31">
            <v>38768808.050000004</v>
          </cell>
        </row>
        <row r="32">
          <cell r="A32" t="str">
            <v>TO</v>
          </cell>
          <cell r="B32">
            <v>1035888.75</v>
          </cell>
          <cell r="C32">
            <v>0</v>
          </cell>
          <cell r="D32">
            <v>929466.22</v>
          </cell>
          <cell r="E32">
            <v>7102.48</v>
          </cell>
          <cell r="F32">
            <v>1145130.82</v>
          </cell>
          <cell r="G32">
            <v>955427.64</v>
          </cell>
          <cell r="H32">
            <v>1209869.93</v>
          </cell>
          <cell r="I32">
            <v>404904.9</v>
          </cell>
          <cell r="J32">
            <v>83470.73</v>
          </cell>
          <cell r="K32">
            <v>0</v>
          </cell>
          <cell r="L32">
            <v>1531304.1</v>
          </cell>
          <cell r="M32">
            <v>844913.31</v>
          </cell>
          <cell r="N32">
            <v>947560.52</v>
          </cell>
          <cell r="O32">
            <v>1036653.31</v>
          </cell>
          <cell r="P32">
            <v>1036653.31</v>
          </cell>
          <cell r="Q32">
            <v>629052.67000000004</v>
          </cell>
          <cell r="R32">
            <v>31566.85</v>
          </cell>
          <cell r="S32">
            <v>214.54</v>
          </cell>
          <cell r="T32"/>
          <cell r="U32">
            <v>99320.050000000047</v>
          </cell>
          <cell r="V32">
            <v>130886.90000000014</v>
          </cell>
          <cell r="W32">
            <v>106422.53000000003</v>
          </cell>
          <cell r="X32">
            <v>189703.18000000005</v>
          </cell>
          <cell r="Y32">
            <v>863875.25</v>
          </cell>
        </row>
      </sheetData>
      <sheetData sheetId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gras de Descontos - PF e PJ"/>
      <sheetName val="PF e PJ - com desconto"/>
      <sheetName val="Quadro 1 - AÇÕES ESTRATÉGICAS"/>
      <sheetName val="Quadro 2"/>
      <sheetName val="Quadro 3"/>
      <sheetName val="Quadro 4"/>
      <sheetName val="Quadros 5 6 7"/>
      <sheetName val="Anexo IV- Qde e Valor 100%"/>
      <sheetName val="Anexo III- Qde Prof_Empr_RRT"/>
      <sheetName val="Anexo V-Resumo Valor 80% "/>
      <sheetName val="Alterações ou Resumo do CAU_UF"/>
      <sheetName val="Anexo VI-Repasse Fundo de Apoio"/>
      <sheetName val="Anexo VI.I-Aporte do FA"/>
      <sheetName val="Anexo VII- CSC Total"/>
      <sheetName val="Anexo VII.I-CSC-Teleatendimento"/>
      <sheetName val="Anexo VII.II-CSC -ESSENCIAIS"/>
      <sheetName val="Anexo VII.III- SISCAF"/>
      <sheetName val="GERAL_CSC"/>
      <sheetName val=" Anexo VIII-TARIFAS BANCÁRIAS"/>
      <sheetName val="Anexo X.I-Projeções (80 e 100)"/>
      <sheetName val="PF - Projeção"/>
      <sheetName val="Anexo X.II-Anuidades PF"/>
      <sheetName val="PJ - Projeção"/>
      <sheetName val="RRT"/>
      <sheetName val="Anexo X.III- Anuidades PJ"/>
      <sheetName val="Anexo X.IV- RRT "/>
      <sheetName val="Taxas e Multas"/>
      <sheetName val="Anexo X.V-Taxas e Multas"/>
      <sheetName val="Estudos-Percentuais"/>
      <sheetName val="Exerc.Anteriores PF-PJ"/>
      <sheetName val="PASSAGENS_2022"/>
      <sheetName val="Arrecadação_Aportes "/>
      <sheetName val="APRESENTAÇÃO  2022"/>
      <sheetName val="Aporte_Arrecadação(2)"/>
      <sheetName val="ANEXO XI.I"/>
      <sheetName val="EMPRESAS"/>
      <sheetName val="CSC_TAQ e Telefoni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7">
          <cell r="C7">
            <v>207992.06985046846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package" Target="../embeddings/Microsoft_PowerPoint_Slide2.sldx"/><Relationship Id="rId3" Type="http://schemas.openxmlformats.org/officeDocument/2006/relationships/vmlDrawing" Target="../drawings/vmlDrawing1.vml"/><Relationship Id="rId7" Type="http://schemas.openxmlformats.org/officeDocument/2006/relationships/image" Target="../media/image2.emf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6" Type="http://schemas.openxmlformats.org/officeDocument/2006/relationships/package" Target="../embeddings/Microsoft_PowerPoint_Slide1.sldx"/><Relationship Id="rId5" Type="http://schemas.openxmlformats.org/officeDocument/2006/relationships/image" Target="../media/image1.emf"/><Relationship Id="rId4" Type="http://schemas.openxmlformats.org/officeDocument/2006/relationships/package" Target="../embeddings/Microsoft_PowerPoint_Slide.sldx"/><Relationship Id="rId9" Type="http://schemas.openxmlformats.org/officeDocument/2006/relationships/package" Target="../embeddings/Microsoft_PowerPoint_Slide3.sldx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2A5664"/>
  </sheetPr>
  <dimension ref="A1:Y10"/>
  <sheetViews>
    <sheetView showGridLines="0" zoomScale="160" zoomScaleNormal="160" workbookViewId="0">
      <selection activeCell="A2" sqref="A2"/>
    </sheetView>
  </sheetViews>
  <sheetFormatPr defaultColWidth="0" defaultRowHeight="15.75" zeroHeight="1"/>
  <cols>
    <col min="1" max="1" width="126.28515625" style="3" customWidth="1"/>
    <col min="2" max="2" width="9.140625" hidden="1" customWidth="1"/>
    <col min="3" max="25" width="0" hidden="1" customWidth="1"/>
    <col min="26" max="16384" width="9.140625" hidden="1"/>
  </cols>
  <sheetData>
    <row r="1" spans="1:1" ht="16.5" thickBot="1">
      <c r="A1" s="16" t="s">
        <v>0</v>
      </c>
    </row>
    <row r="2" spans="1:1" ht="39.75" customHeight="1" thickBot="1">
      <c r="A2" s="17" t="s">
        <v>1</v>
      </c>
    </row>
    <row r="3" spans="1:1" ht="39.75" customHeight="1" thickBot="1">
      <c r="A3" s="70" t="s">
        <v>2</v>
      </c>
    </row>
    <row r="4" spans="1:1" ht="39.75" customHeight="1" thickBot="1">
      <c r="A4" s="18" t="s">
        <v>3</v>
      </c>
    </row>
    <row r="5" spans="1:1" ht="39.75" customHeight="1" thickBot="1">
      <c r="A5" s="18" t="s">
        <v>4</v>
      </c>
    </row>
    <row r="6" spans="1:1" ht="39.75" customHeight="1" thickBot="1">
      <c r="A6" s="18" t="s">
        <v>5</v>
      </c>
    </row>
    <row r="7" spans="1:1" ht="39.75" customHeight="1" thickBot="1">
      <c r="A7" s="18" t="s">
        <v>6</v>
      </c>
    </row>
    <row r="8" spans="1:1" ht="57.75" customHeight="1" thickBot="1">
      <c r="A8" s="17" t="s">
        <v>7</v>
      </c>
    </row>
    <row r="9" spans="1:1" ht="36" customHeight="1" thickBot="1">
      <c r="A9" s="19" t="s">
        <v>8</v>
      </c>
    </row>
    <row r="10" spans="1:1" ht="42" customHeight="1" thickBot="1">
      <c r="A10" s="17" t="s">
        <v>9</v>
      </c>
    </row>
  </sheetData>
  <sheetProtection algorithmName="SHA-512" hashValue="AhDW+6duKyjw0CdaT7TgQvZBoVcI1oM06/dvscv7QvX+i5hyn92EYecOsh28SVljFKScaYlengaZpCN7y1bvpg==" saltValue="tA4xXdcw4/094EWa1YIrHg==" spinCount="100000" sheet="1" objects="1" scenarios="1"/>
  <pageMargins left="0.511811024" right="0.511811024" top="0.78740157499999996" bottom="0.78740157499999996" header="0.31496062000000002" footer="0.31496062000000002"/>
  <pageSetup paperSize="9" orientation="portrait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7030A0"/>
  </sheetPr>
  <dimension ref="A1:AR36"/>
  <sheetViews>
    <sheetView showGridLines="0" topLeftCell="A2" zoomScaleNormal="100" workbookViewId="0">
      <pane xSplit="1" ySplit="2" topLeftCell="AJ4" activePane="bottomRight" state="frozen"/>
      <selection pane="bottomRight" activeCell="AJ14" sqref="AJ14"/>
      <selection pane="bottomLeft" activeCell="H17" sqref="H17"/>
      <selection pane="topRight" activeCell="H17" sqref="H17"/>
    </sheetView>
  </sheetViews>
  <sheetFormatPr defaultRowHeight="15.75" zeroHeight="1" outlineLevelCol="1"/>
  <cols>
    <col min="1" max="1" width="13.28515625" style="26" hidden="1" customWidth="1" outlineLevel="1"/>
    <col min="2" max="2" width="15.42578125" style="25" hidden="1" customWidth="1" outlineLevel="1"/>
    <col min="3" max="9" width="15.5703125" style="25" hidden="1" customWidth="1" outlineLevel="1"/>
    <col min="10" max="10" width="16.140625" style="23" hidden="1" customWidth="1" outlineLevel="1"/>
    <col min="11" max="11" width="13.28515625" style="24" hidden="1" customWidth="1" outlineLevel="1"/>
    <col min="12" max="14" width="15.42578125" style="23" hidden="1" customWidth="1" outlineLevel="1"/>
    <col min="15" max="15" width="2.28515625" style="23" hidden="1" customWidth="1" outlineLevel="1"/>
    <col min="16" max="17" width="16.42578125" style="23" hidden="1" customWidth="1" outlineLevel="1"/>
    <col min="18" max="18" width="5.7109375" style="22" hidden="1" customWidth="1" outlineLevel="1"/>
    <col min="19" max="19" width="15.42578125" style="23" hidden="1" customWidth="1" outlineLevel="1"/>
    <col min="20" max="20" width="2.85546875" style="22" hidden="1" customWidth="1" outlineLevel="1"/>
    <col min="21" max="21" width="16.140625" style="23" hidden="1" customWidth="1" outlineLevel="1"/>
    <col min="22" max="22" width="2.85546875" style="22" hidden="1" customWidth="1" outlineLevel="1"/>
    <col min="23" max="23" width="16.42578125" style="20" hidden="1" customWidth="1" outlineLevel="1"/>
    <col min="24" max="24" width="19.85546875" style="20" hidden="1" customWidth="1" outlineLevel="1"/>
    <col min="25" max="25" width="16.42578125" style="21" hidden="1" customWidth="1" outlineLevel="1"/>
    <col min="26" max="26" width="16.42578125" style="20" hidden="1" customWidth="1" outlineLevel="1"/>
    <col min="27" max="27" width="16.42578125" style="21" hidden="1" customWidth="1" outlineLevel="1"/>
    <col min="28" max="28" width="16.42578125" style="20" hidden="1" customWidth="1" outlineLevel="1"/>
    <col min="29" max="29" width="2.85546875" hidden="1" customWidth="1" outlineLevel="1"/>
    <col min="30" max="30" width="11.28515625" hidden="1" customWidth="1" outlineLevel="1"/>
    <col min="31" max="31" width="3.28515625" hidden="1" customWidth="1" outlineLevel="1"/>
    <col min="32" max="32" width="18.85546875" hidden="1" customWidth="1" outlineLevel="1"/>
    <col min="33" max="33" width="4.7109375" hidden="1" customWidth="1" outlineLevel="1"/>
    <col min="34" max="34" width="18.85546875" style="20" hidden="1" customWidth="1" outlineLevel="1"/>
    <col min="35" max="35" width="9.85546875" hidden="1" customWidth="1" outlineLevel="1"/>
    <col min="36" max="36" width="39.140625" style="3" bestFit="1" customWidth="1" collapsed="1"/>
    <col min="37" max="37" width="15.7109375" style="3" bestFit="1" customWidth="1"/>
    <col min="38" max="38" width="1" customWidth="1"/>
    <col min="39" max="39" width="39" style="3" bestFit="1" customWidth="1"/>
    <col min="40" max="40" width="15.5703125" bestFit="1" customWidth="1"/>
    <col min="41" max="41" width="10.140625" bestFit="1" customWidth="1"/>
    <col min="44" max="44" width="12.42578125" bestFit="1" customWidth="1"/>
  </cols>
  <sheetData>
    <row r="1" spans="1:44" ht="16.5" hidden="1" customHeight="1" thickBot="1">
      <c r="A1" s="537" t="s">
        <v>827</v>
      </c>
      <c r="B1" s="533">
        <v>0.8</v>
      </c>
      <c r="C1" s="533"/>
      <c r="D1" s="533"/>
      <c r="E1" s="533"/>
      <c r="F1" s="533"/>
      <c r="G1" s="533"/>
      <c r="H1" s="533"/>
      <c r="I1" s="533"/>
      <c r="J1" s="533"/>
      <c r="L1" s="527" t="s">
        <v>828</v>
      </c>
      <c r="M1" s="528"/>
      <c r="N1" s="529"/>
      <c r="P1" s="528" t="s">
        <v>829</v>
      </c>
      <c r="Q1" s="528"/>
      <c r="S1" s="528" t="s">
        <v>830</v>
      </c>
      <c r="U1" s="528" t="s">
        <v>831</v>
      </c>
      <c r="W1" s="533" t="s">
        <v>832</v>
      </c>
      <c r="X1" s="533"/>
      <c r="Y1" s="533"/>
      <c r="Z1" s="533"/>
      <c r="AA1" s="533"/>
      <c r="AB1" s="533"/>
    </row>
    <row r="2" spans="1:44" s="58" customFormat="1" ht="16.5" thickBot="1">
      <c r="A2" s="537"/>
      <c r="B2" s="534" t="s">
        <v>833</v>
      </c>
      <c r="C2" s="534"/>
      <c r="D2" s="534"/>
      <c r="E2" s="534" t="s">
        <v>834</v>
      </c>
      <c r="F2" s="534"/>
      <c r="G2" s="534"/>
      <c r="H2" s="524" t="s">
        <v>835</v>
      </c>
      <c r="I2" s="524" t="s">
        <v>836</v>
      </c>
      <c r="J2" s="526" t="s">
        <v>837</v>
      </c>
      <c r="K2" s="64"/>
      <c r="L2" s="530"/>
      <c r="M2" s="531"/>
      <c r="N2" s="532"/>
      <c r="O2" s="63"/>
      <c r="P2" s="531"/>
      <c r="Q2" s="531"/>
      <c r="R2" s="62"/>
      <c r="S2" s="531"/>
      <c r="T2" s="62"/>
      <c r="U2" s="531"/>
      <c r="V2" s="62"/>
      <c r="W2" s="534" t="s">
        <v>833</v>
      </c>
      <c r="X2" s="534"/>
      <c r="Y2" s="534"/>
      <c r="Z2" s="534" t="s">
        <v>834</v>
      </c>
      <c r="AA2" s="534"/>
      <c r="AB2" s="61" t="s">
        <v>835</v>
      </c>
      <c r="AD2" s="535" t="s">
        <v>838</v>
      </c>
      <c r="AF2" s="535" t="s">
        <v>839</v>
      </c>
      <c r="AH2" s="538" t="s">
        <v>840</v>
      </c>
      <c r="AJ2" s="60" t="s">
        <v>841</v>
      </c>
      <c r="AK2" s="59" t="str">
        <f>'Indicadores e Metas'!B5</f>
        <v>MG</v>
      </c>
      <c r="AM2" s="522" t="s">
        <v>842</v>
      </c>
      <c r="AN2" s="523"/>
    </row>
    <row r="3" spans="1:44" s="47" customFormat="1" ht="20.25" customHeight="1" thickBot="1">
      <c r="A3" s="537"/>
      <c r="B3" s="55" t="s">
        <v>843</v>
      </c>
      <c r="C3" s="55" t="s">
        <v>844</v>
      </c>
      <c r="D3" s="55" t="s">
        <v>845</v>
      </c>
      <c r="E3" s="55" t="s">
        <v>843</v>
      </c>
      <c r="F3" s="55" t="s">
        <v>844</v>
      </c>
      <c r="G3" s="55" t="s">
        <v>845</v>
      </c>
      <c r="H3" s="525"/>
      <c r="I3" s="525"/>
      <c r="J3" s="525"/>
      <c r="K3" s="57"/>
      <c r="L3" s="55" t="s">
        <v>846</v>
      </c>
      <c r="M3" s="55" t="s">
        <v>847</v>
      </c>
      <c r="N3" s="55" t="s">
        <v>848</v>
      </c>
      <c r="O3" s="56"/>
      <c r="P3" s="67" t="s">
        <v>849</v>
      </c>
      <c r="Q3" s="67" t="s">
        <v>850</v>
      </c>
      <c r="R3" s="53"/>
      <c r="S3" s="54" t="s">
        <v>851</v>
      </c>
      <c r="T3" s="53"/>
      <c r="U3" s="54" t="s">
        <v>852</v>
      </c>
      <c r="V3" s="53"/>
      <c r="W3" s="52" t="s">
        <v>853</v>
      </c>
      <c r="X3" s="52" t="s">
        <v>854</v>
      </c>
      <c r="Y3" s="50" t="s">
        <v>855</v>
      </c>
      <c r="Z3" s="51" t="s">
        <v>856</v>
      </c>
      <c r="AA3" s="50" t="s">
        <v>855</v>
      </c>
      <c r="AB3" s="49" t="s">
        <v>856</v>
      </c>
      <c r="AD3" s="536"/>
      <c r="AF3" s="536"/>
      <c r="AH3" s="538"/>
      <c r="AJ3" s="42" t="s">
        <v>349</v>
      </c>
      <c r="AK3" s="48">
        <f>AK4+AK14+AK15+AK16</f>
        <v>11547133.771404244</v>
      </c>
      <c r="AM3" s="42" t="s">
        <v>857</v>
      </c>
      <c r="AN3" s="41">
        <f>VLOOKUP($AK$2,'Diretrizes - Resumo'!$A$4:$Q$30,16,)</f>
        <v>896349.2</v>
      </c>
    </row>
    <row r="4" spans="1:44" ht="16.5" thickBot="1">
      <c r="A4" s="32" t="s">
        <v>777</v>
      </c>
      <c r="B4" s="25">
        <f>VLOOKUP($A$4:$A$30,'[5]Anexo V-Resumo Valor 80% '!$A$4:$Q$36,5,)</f>
        <v>173779.93599999999</v>
      </c>
      <c r="C4" s="25">
        <f>VLOOKUP($A$4:$A$30,'[5]Anexo V-Resumo Valor 80% '!$A$4:$Q$36,6,)</f>
        <v>28680.296000000002</v>
      </c>
      <c r="D4" s="25">
        <f t="shared" ref="D4" si="0">B4+C4</f>
        <v>202460.23199999999</v>
      </c>
      <c r="E4" s="25">
        <f>VLOOKUP($A$4:$A$30,'[5]Anexo V-Resumo Valor 80% '!$A$4:$Q$36,11,)</f>
        <v>26559.703999999998</v>
      </c>
      <c r="F4" s="25">
        <f>VLOOKUP($A$4:$A$30,'[5]Anexo V-Resumo Valor 80% '!$A$4:$Q$36,12,)</f>
        <v>7609.2720000000008</v>
      </c>
      <c r="G4" s="25">
        <f t="shared" ref="G4" si="1">E4+F4</f>
        <v>34168.975999999995</v>
      </c>
      <c r="H4" s="25">
        <f>VLOOKUP($A$4:$A$30,'[5]Anexo V-Resumo Valor 80% '!$A$4:$Q$36,15,)</f>
        <v>235854.82</v>
      </c>
      <c r="I4" s="25">
        <f>VLOOKUP($A$4:$A$30,'[5]Anexo V-Resumo Valor 80% '!$A$4:$Q$36,17,)</f>
        <v>24707.91</v>
      </c>
      <c r="J4" s="31">
        <f t="shared" ref="J4:J30" si="2">I4+H4+G4+D4</f>
        <v>497191.93799999997</v>
      </c>
      <c r="K4" s="65">
        <f>J4-VLOOKUP($A$4:$A$30,'[5]Anexo V-Resumo Valor 80% '!$A$4:$S$36,19,)</f>
        <v>0</v>
      </c>
      <c r="L4" s="25">
        <f>VLOOKUP($A$4:$A$30,'[6]Anexo VI.I-Aporte do FA'!$A$4:$C$33,3,)</f>
        <v>9108.9120471532424</v>
      </c>
      <c r="M4" s="25">
        <f>VLOOKUP($A$4:$A$30,'[6]Anexo VI-Repasse Fundo de Apoio'!$A$4:$G$16,7,)</f>
        <v>17240</v>
      </c>
      <c r="N4" s="25">
        <f>VLOOKUP($A$4:$A$30,'[6]Anexo VI-Repasse Fundo de Apoio'!$A$4:$H$16,8,)</f>
        <v>754537.39605743252</v>
      </c>
      <c r="P4" s="25">
        <f>VLOOKUP($A$4:$A$30,'[6]Anexo VII- CSC - SERV.'!$A$4:$D$37,4,)</f>
        <v>39070.160000000003</v>
      </c>
      <c r="Q4" s="25">
        <f>VLOOKUP($A$4:$A$30,'[6]Anexo VII- CSC - SERV.'!$A$4:$F$38,6,)-P4</f>
        <v>4657.0560574324481</v>
      </c>
      <c r="R4" s="66">
        <f>VLOOKUP($A$4:$A$30,'[6]Anexo VII- CSC - SERV.'!$A$4:$F$38,6,)-(P4+Q4)</f>
        <v>0</v>
      </c>
      <c r="S4" s="25"/>
      <c r="U4" s="25">
        <f>VLOOKUP($A$4:$A$30,'[6] Anexo VIII-TARIFAS BANCÁRIAS'!$A$3:$D$35,4,)</f>
        <v>2525.3977976760007</v>
      </c>
      <c r="W4" s="29">
        <f>VLOOKUP($A$4:$A$30,'[6]Anexo III- Qde Prof_Empr_RRT'!$A$5:$X$37,3,)</f>
        <v>736</v>
      </c>
      <c r="X4" s="29">
        <f>VLOOKUP($A$4:$A$30,'[6]Anexo III- Qde Prof_Empr_RRT'!$A$5:$X$37,6,)</f>
        <v>725</v>
      </c>
      <c r="Y4" s="30">
        <f>VLOOKUP($A$4:$A$30,'[6]Anexo III- Qde Prof_Empr_RRT'!$A$5:$X$37,12,)</f>
        <v>36.137931034482762</v>
      </c>
      <c r="Z4" s="29">
        <f>VLOOKUP($A$4:$A$30,'[6]Anexo III- Qde Prof_Empr_RRT'!$A$5:$X$37,15,)</f>
        <v>146</v>
      </c>
      <c r="AA4" s="30">
        <f>VLOOKUP($A$4:$A$30,'[6]Anexo III- Qde Prof_Empr_RRT'!$A$5:$X$37,21,)</f>
        <v>52.054794520547951</v>
      </c>
      <c r="AB4" s="29">
        <f>VLOOKUP($A$4:$A$30,'[6]Anexo III- Qde Prof_Empr_RRT'!$A$5:$X$37,24,)</f>
        <v>2724</v>
      </c>
      <c r="AD4" s="22">
        <v>0</v>
      </c>
      <c r="AF4" s="22">
        <f>VLOOKUP($A$4:$A$30,'[7]Demonstrativos 2020'!$A$6:$Y$32,25,)</f>
        <v>669680.75</v>
      </c>
      <c r="AG4" s="58"/>
      <c r="AH4" s="130">
        <v>906876</v>
      </c>
      <c r="AJ4" s="36" t="s">
        <v>350</v>
      </c>
      <c r="AK4" s="46">
        <f>AK5+AK12+AK13</f>
        <v>11499387.25</v>
      </c>
      <c r="AM4" s="36" t="s">
        <v>858</v>
      </c>
      <c r="AN4" s="41">
        <f>VLOOKUP($AK$2,'Diretrizes - Resumo'!$A$4:$Q$30,17,)</f>
        <v>111232.1710148775</v>
      </c>
      <c r="AR4" s="28"/>
    </row>
    <row r="5" spans="1:44" ht="16.5" thickBot="1">
      <c r="A5" s="32" t="s">
        <v>780</v>
      </c>
      <c r="B5" s="25">
        <f>VLOOKUP($A$4:$A$30,'[5]Anexo V-Resumo Valor 80% '!$A$4:$Q$36,5,)</f>
        <v>529644.17599999998</v>
      </c>
      <c r="C5" s="25">
        <f>VLOOKUP($A$4:$A$30,'[5]Anexo V-Resumo Valor 80% '!$A$4:$Q$36,6,)</f>
        <v>119850.66399999999</v>
      </c>
      <c r="D5" s="25">
        <f t="shared" ref="D5:D30" si="3">B5+C5</f>
        <v>649494.84</v>
      </c>
      <c r="E5" s="25">
        <f>VLOOKUP($A$4:$A$30,'[5]Anexo V-Resumo Valor 80% '!$A$4:$Q$36,11,)</f>
        <v>28274.615999999998</v>
      </c>
      <c r="F5" s="25">
        <f>VLOOKUP($A$4:$A$30,'[5]Anexo V-Resumo Valor 80% '!$A$4:$Q$36,12,)</f>
        <v>19201.423999999999</v>
      </c>
      <c r="G5" s="25">
        <f t="shared" ref="G5:G30" si="4">E5+F5</f>
        <v>47476.039999999994</v>
      </c>
      <c r="H5" s="25">
        <f>VLOOKUP($A$4:$A$30,'[5]Anexo V-Resumo Valor 80% '!$A$4:$Q$36,15,)</f>
        <v>623231.63</v>
      </c>
      <c r="I5" s="25">
        <f>VLOOKUP($A$4:$A$30,'[5]Anexo V-Resumo Valor 80% '!$A$4:$Q$36,17,)</f>
        <v>85690.17</v>
      </c>
      <c r="J5" s="31">
        <f t="shared" si="2"/>
        <v>1405892.6800000002</v>
      </c>
      <c r="K5" s="65">
        <f>J5-VLOOKUP($A$4:$A$30,'[5]Anexo V-Resumo Valor 80% '!$A$4:$S$36,19,)</f>
        <v>0</v>
      </c>
      <c r="L5" s="25">
        <f>VLOOKUP($A$4:$A$30,'[6]Anexo VI.I-Aporte do FA'!$A$4:$C$33,3,)</f>
        <v>25584.128262041868</v>
      </c>
      <c r="M5" s="25"/>
      <c r="N5" s="25"/>
      <c r="P5" s="25">
        <f>VLOOKUP($A$4:$A$30,'[6]Anexo VII- CSC - SERV.'!$A$4:$D$37,4,)</f>
        <v>109736.05</v>
      </c>
      <c r="Q5" s="25">
        <f>VLOOKUP($A$4:$A$30,'[6]Anexo VII- CSC - SERV.'!$A$4:$F$38,6,)-P5</f>
        <v>12970.234884836624</v>
      </c>
      <c r="R5" s="66">
        <f>VLOOKUP($A$4:$A$30,'[6]Anexo VII- CSC - SERV.'!$A$4:$F$38,6,)-(P5+Q5)</f>
        <v>0</v>
      </c>
      <c r="S5" s="25"/>
      <c r="U5" s="25">
        <f>VLOOKUP($A$4:$A$30,'[6] Anexo VIII-TARIFAS BANCÁRIAS'!$A$3:$D$35,4,)</f>
        <v>5973.4512300060005</v>
      </c>
      <c r="W5" s="29">
        <f>VLOOKUP($A$4:$A$30,'[6]Anexo III- Qde Prof_Empr_RRT'!$A$5:$X$37,3,)</f>
        <v>2183</v>
      </c>
      <c r="X5" s="29">
        <f>VLOOKUP($A$4:$A$30,'[6]Anexo III- Qde Prof_Empr_RRT'!$A$5:$X$37,6,)</f>
        <v>2095</v>
      </c>
      <c r="Y5" s="30">
        <f>VLOOKUP($A$4:$A$30,'[6]Anexo III- Qde Prof_Empr_RRT'!$A$5:$X$37,12,)</f>
        <v>32.410501193317415</v>
      </c>
      <c r="Z5" s="29">
        <f>VLOOKUP($A$4:$A$30,'[6]Anexo III- Qde Prof_Empr_RRT'!$A$5:$X$37,15,)</f>
        <v>174</v>
      </c>
      <c r="AA5" s="30">
        <f>VLOOKUP($A$4:$A$30,'[6]Anexo III- Qde Prof_Empr_RRT'!$A$5:$X$37,21,)</f>
        <v>56.896551724137936</v>
      </c>
      <c r="AB5" s="29">
        <f>VLOOKUP($A$4:$A$30,'[6]Anexo III- Qde Prof_Empr_RRT'!$A$5:$X$37,24,)</f>
        <v>7198</v>
      </c>
      <c r="AD5" s="22">
        <v>0</v>
      </c>
      <c r="AF5" s="22">
        <f>VLOOKUP($A$4:$A$30,'[7]Demonstrativos 2020'!$A$6:$Y$32,25,)</f>
        <v>459563.48000000004</v>
      </c>
      <c r="AG5" s="22"/>
      <c r="AH5" s="130">
        <v>3365351</v>
      </c>
      <c r="AJ5" s="36" t="s">
        <v>351</v>
      </c>
      <c r="AK5" s="46">
        <f>AK6+AK9</f>
        <v>5971306.4400000004</v>
      </c>
      <c r="AM5" s="36" t="s">
        <v>859</v>
      </c>
      <c r="AN5" s="41">
        <f>VLOOKUP($AK$2,'Diretrizes - Resumo'!$A$4:$S$30,19,)</f>
        <v>0</v>
      </c>
      <c r="AR5" s="28"/>
    </row>
    <row r="6" spans="1:44" ht="16.5" thickBot="1">
      <c r="A6" s="32" t="s">
        <v>784</v>
      </c>
      <c r="B6" s="25">
        <f>VLOOKUP($A$4:$A$30,'[5]Anexo V-Resumo Valor 80% '!$A$4:$Q$36,5,)</f>
        <v>571370.08000000007</v>
      </c>
      <c r="C6" s="25">
        <f>VLOOKUP($A$4:$A$30,'[5]Anexo V-Resumo Valor 80% '!$A$4:$Q$36,6,)</f>
        <v>121138.20800000001</v>
      </c>
      <c r="D6" s="25">
        <f t="shared" si="3"/>
        <v>692508.28800000006</v>
      </c>
      <c r="E6" s="25">
        <f>VLOOKUP($A$4:$A$30,'[5]Anexo V-Resumo Valor 80% '!$A$4:$Q$36,11,)</f>
        <v>46580.504000000001</v>
      </c>
      <c r="F6" s="25">
        <f>VLOOKUP($A$4:$A$30,'[5]Anexo V-Resumo Valor 80% '!$A$4:$Q$36,12,)</f>
        <v>21504.728000000003</v>
      </c>
      <c r="G6" s="25">
        <f t="shared" si="4"/>
        <v>68085.232000000004</v>
      </c>
      <c r="H6" s="25">
        <f>VLOOKUP($A$4:$A$30,'[5]Anexo V-Resumo Valor 80% '!$A$4:$Q$36,15,)</f>
        <v>580459.14</v>
      </c>
      <c r="I6" s="25">
        <f>VLOOKUP($A$4:$A$30,'[5]Anexo V-Resumo Valor 80% '!$A$4:$Q$36,17,)</f>
        <v>67052.63</v>
      </c>
      <c r="J6" s="31">
        <f t="shared" si="2"/>
        <v>1408105.29</v>
      </c>
      <c r="K6" s="65">
        <f>J6-VLOOKUP($A$4:$A$30,'[5]Anexo V-Resumo Valor 80% '!$A$4:$S$36,19,)</f>
        <v>0</v>
      </c>
      <c r="L6" s="25">
        <f>VLOOKUP($A$4:$A$30,'[6]Anexo VI.I-Aporte do FA'!$A$4:$C$33,3,)</f>
        <v>25660.497814048096</v>
      </c>
      <c r="M6" s="25"/>
      <c r="N6" s="25"/>
      <c r="P6" s="25">
        <f>VLOOKUP($A$4:$A$30,'[6]Anexo VII- CSC - SERV.'!$A$4:$D$37,4,)</f>
        <v>110063.62</v>
      </c>
      <c r="Q6" s="25">
        <f>VLOOKUP($A$4:$A$30,'[6]Anexo VII- CSC - SERV.'!$A$4:$F$38,6,)-P6</f>
        <v>12732.700211732939</v>
      </c>
      <c r="R6" s="66">
        <f>VLOOKUP($A$4:$A$30,'[6]Anexo VII- CSC - SERV.'!$A$4:$F$38,6,)-(P6+Q6)</f>
        <v>0</v>
      </c>
      <c r="S6" s="25"/>
      <c r="U6" s="25">
        <f>VLOOKUP($A$4:$A$30,'[6] Anexo VIII-TARIFAS BANCÁRIAS'!$A$3:$D$35,4,)</f>
        <v>5608.741874710001</v>
      </c>
      <c r="W6" s="29">
        <f>VLOOKUP($A$4:$A$30,'[6]Anexo III- Qde Prof_Empr_RRT'!$A$5:$X$37,3,)</f>
        <v>2200</v>
      </c>
      <c r="X6" s="29">
        <f>VLOOKUP($A$4:$A$30,'[6]Anexo III- Qde Prof_Empr_RRT'!$A$5:$X$37,6,)</f>
        <v>2182</v>
      </c>
      <c r="Y6" s="30">
        <f>VLOOKUP($A$4:$A$30,'[6]Anexo III- Qde Prof_Empr_RRT'!$A$5:$X$37,12,)</f>
        <v>32.447296058661777</v>
      </c>
      <c r="Z6" s="29">
        <f>VLOOKUP($A$4:$A$30,'[6]Anexo III- Qde Prof_Empr_RRT'!$A$5:$X$37,15,)</f>
        <v>260</v>
      </c>
      <c r="AA6" s="30">
        <f>VLOOKUP($A$4:$A$30,'[6]Anexo III- Qde Prof_Empr_RRT'!$A$5:$X$37,21,)</f>
        <v>52.692307692307693</v>
      </c>
      <c r="AB6" s="29">
        <f>VLOOKUP($A$4:$A$30,'[6]Anexo III- Qde Prof_Empr_RRT'!$A$5:$X$37,24,)</f>
        <v>6704</v>
      </c>
      <c r="AD6" s="22">
        <v>0</v>
      </c>
      <c r="AF6" s="22">
        <f>VLOOKUP($A$4:$A$30,'[7]Demonstrativos 2020'!$A$6:$Y$32,25,)</f>
        <v>984059.28000000014</v>
      </c>
      <c r="AG6" s="22"/>
      <c r="AH6" s="130">
        <v>4269995</v>
      </c>
      <c r="AJ6" s="36" t="s">
        <v>352</v>
      </c>
      <c r="AK6" s="45">
        <f>SUM(AK7:AK8)</f>
        <v>5459549.9440000001</v>
      </c>
      <c r="AM6" s="36" t="s">
        <v>860</v>
      </c>
      <c r="AN6" s="41">
        <f>'[8]Anexo VI.I-Aporte do FA'!$C$7</f>
        <v>207992.06985046846</v>
      </c>
      <c r="AR6" s="28"/>
    </row>
    <row r="7" spans="1:44" ht="16.5" thickBot="1">
      <c r="A7" s="32" t="s">
        <v>787</v>
      </c>
      <c r="B7" s="25">
        <f>VLOOKUP($A$4:$A$30,'[5]Anexo V-Resumo Valor 80% '!$A$4:$Q$36,5,)</f>
        <v>199437.94400000002</v>
      </c>
      <c r="C7" s="25">
        <f>VLOOKUP($A$4:$A$30,'[5]Anexo V-Resumo Valor 80% '!$A$4:$Q$36,6,)</f>
        <v>40871.728000000003</v>
      </c>
      <c r="D7" s="25">
        <f t="shared" si="3"/>
        <v>240309.67200000002</v>
      </c>
      <c r="E7" s="25">
        <f>VLOOKUP($A$4:$A$30,'[5]Anexo V-Resumo Valor 80% '!$A$4:$Q$36,11,)</f>
        <v>33169.32</v>
      </c>
      <c r="F7" s="25">
        <f>VLOOKUP($A$4:$A$30,'[5]Anexo V-Resumo Valor 80% '!$A$4:$Q$36,12,)</f>
        <v>22426.176000000003</v>
      </c>
      <c r="G7" s="25">
        <f t="shared" si="4"/>
        <v>55595.495999999999</v>
      </c>
      <c r="H7" s="25">
        <f>VLOOKUP($A$4:$A$30,'[5]Anexo V-Resumo Valor 80% '!$A$4:$Q$36,15,)</f>
        <v>297156.28999999998</v>
      </c>
      <c r="I7" s="25">
        <f>VLOOKUP($A$4:$A$30,'[5]Anexo V-Resumo Valor 80% '!$A$4:$Q$36,17,)</f>
        <v>29653.07</v>
      </c>
      <c r="J7" s="31">
        <f t="shared" si="2"/>
        <v>622714.52799999993</v>
      </c>
      <c r="K7" s="65">
        <f>J7-VLOOKUP($A$4:$A$30,'[5]Anexo V-Resumo Valor 80% '!$A$4:$S$36,19,)</f>
        <v>0</v>
      </c>
      <c r="L7" s="25">
        <f>VLOOKUP($A$4:$A$30,'[6]Anexo VI.I-Aporte do FA'!$A$4:$C$33,3,)</f>
        <v>11617.791798420327</v>
      </c>
      <c r="M7" s="25">
        <f>VLOOKUP($A$4:$A$30,'[6]Anexo VI-Repasse Fundo de Apoio'!$A$4:$G$16,7,)</f>
        <v>18040</v>
      </c>
      <c r="N7" s="25">
        <f>VLOOKUP($A$4:$A$30,'[6]Anexo VI-Repasse Fundo de Apoio'!$A$4:$H$16,8,)</f>
        <v>629725.45006169006</v>
      </c>
      <c r="P7" s="25">
        <f>VLOOKUP($A$4:$A$30,'[6]Anexo VII- CSC - SERV.'!$A$4:$D$37,4,)</f>
        <v>49831.31</v>
      </c>
      <c r="Q7" s="25">
        <f>VLOOKUP($A$4:$A$30,'[6]Anexo VII- CSC - SERV.'!$A$4:$F$38,6,)-P7</f>
        <v>5762.7040616900194</v>
      </c>
      <c r="R7" s="66">
        <f>VLOOKUP($A$4:$A$30,'[6]Anexo VII- CSC - SERV.'!$A$4:$F$38,6,)-(P7+Q7)</f>
        <v>0</v>
      </c>
      <c r="S7" s="25"/>
      <c r="U7" s="25">
        <f>VLOOKUP($A$4:$A$30,'[6] Anexo VIII-TARIFAS BANCÁRIAS'!$A$3:$D$35,4,)</f>
        <v>2768.9817116520007</v>
      </c>
      <c r="W7" s="29">
        <f>VLOOKUP($A$4:$A$30,'[6]Anexo III- Qde Prof_Empr_RRT'!$A$5:$X$37,3,)</f>
        <v>859.6</v>
      </c>
      <c r="X7" s="29">
        <f>VLOOKUP($A$4:$A$30,'[6]Anexo III- Qde Prof_Empr_RRT'!$A$5:$X$37,6,)</f>
        <v>853.6</v>
      </c>
      <c r="Y7" s="30">
        <f>VLOOKUP($A$4:$A$30,'[6]Anexo III- Qde Prof_Empr_RRT'!$A$5:$X$37,12,)</f>
        <v>39.081537019681356</v>
      </c>
      <c r="Z7" s="29">
        <f>VLOOKUP($A$4:$A$30,'[6]Anexo III- Qde Prof_Empr_RRT'!$A$5:$X$37,15,)</f>
        <v>292</v>
      </c>
      <c r="AA7" s="30">
        <f>VLOOKUP($A$4:$A$30,'[6]Anexo III- Qde Prof_Empr_RRT'!$A$5:$X$37,21,)</f>
        <v>70.205479452054789</v>
      </c>
      <c r="AB7" s="29">
        <f>VLOOKUP($A$4:$A$30,'[6]Anexo III- Qde Prof_Empr_RRT'!$A$5:$X$37,24,)</f>
        <v>3432</v>
      </c>
      <c r="AD7" s="22">
        <v>0</v>
      </c>
      <c r="AF7" s="22">
        <f>VLOOKUP($A$4:$A$30,'[7]Demonstrativos 2020'!$A$6:$Y$32,25,)</f>
        <v>829755.32</v>
      </c>
      <c r="AG7" s="22"/>
      <c r="AH7" s="130">
        <v>877613</v>
      </c>
      <c r="AJ7" s="43" t="s">
        <v>353</v>
      </c>
      <c r="AK7" s="41">
        <f>VLOOKUP($AK$2,'Diretrizes - Resumo'!$A$4:$I$30,2,)</f>
        <v>4786978.784</v>
      </c>
      <c r="AM7" s="36" t="s">
        <v>861</v>
      </c>
      <c r="AN7" s="41">
        <f>VLOOKUP($AK$2,'Diretrizes - Resumo'!$A$4:$M$30,13,)</f>
        <v>0</v>
      </c>
      <c r="AR7" s="28"/>
    </row>
    <row r="8" spans="1:44" ht="16.5" thickBot="1">
      <c r="A8" s="32" t="s">
        <v>790</v>
      </c>
      <c r="B8" s="25">
        <f>VLOOKUP($A$4:$A$30,'[5]Anexo V-Resumo Valor 80% '!$A$4:$Q$36,5,)</f>
        <v>1635572.3840000003</v>
      </c>
      <c r="C8" s="25">
        <f>VLOOKUP($A$4:$A$30,'[5]Anexo V-Resumo Valor 80% '!$A$4:$Q$36,6,)</f>
        <v>294898.40000000002</v>
      </c>
      <c r="D8" s="25">
        <f t="shared" si="3"/>
        <v>1930470.7840000005</v>
      </c>
      <c r="E8" s="25">
        <f>VLOOKUP($A$4:$A$30,'[5]Anexo V-Resumo Valor 80% '!$A$4:$Q$36,11,)</f>
        <v>190196.36800000002</v>
      </c>
      <c r="F8" s="25">
        <f>VLOOKUP($A$4:$A$30,'[5]Anexo V-Resumo Valor 80% '!$A$4:$Q$36,12,)</f>
        <v>80935.024000000005</v>
      </c>
      <c r="G8" s="25">
        <f t="shared" si="4"/>
        <v>271131.39199999999</v>
      </c>
      <c r="H8" s="25">
        <f>VLOOKUP($A$4:$A$30,'[5]Anexo V-Resumo Valor 80% '!$A$4:$Q$36,15,)</f>
        <v>1581889.68</v>
      </c>
      <c r="I8" s="25">
        <f>VLOOKUP($A$4:$A$30,'[5]Anexo V-Resumo Valor 80% '!$A$4:$Q$36,17,)</f>
        <v>190281.52</v>
      </c>
      <c r="J8" s="31">
        <f t="shared" si="2"/>
        <v>3973773.3760000002</v>
      </c>
      <c r="K8" s="65">
        <f>J8-VLOOKUP($A$4:$A$30,'[5]Anexo V-Resumo Valor 80% '!$A$4:$S$36,19,)</f>
        <v>0</v>
      </c>
      <c r="L8" s="25">
        <f>VLOOKUP($A$4:$A$30,'[6]Anexo VI.I-Aporte do FA'!$A$4:$C$33,3,)</f>
        <v>72931.013699093732</v>
      </c>
      <c r="M8" s="25"/>
      <c r="N8" s="25"/>
      <c r="P8" s="25">
        <f>VLOOKUP($A$4:$A$30,'[6]Anexo VII- CSC - SERV.'!$A$4:$D$37,4,)</f>
        <v>312817.45</v>
      </c>
      <c r="Q8" s="25">
        <f>VLOOKUP($A$4:$A$30,'[6]Anexo VII- CSC - SERV.'!$A$4:$F$38,6,)-P8</f>
        <v>37600.721619223594</v>
      </c>
      <c r="R8" s="66">
        <f>VLOOKUP($A$4:$A$30,'[6]Anexo VII- CSC - SERV.'!$A$4:$F$38,6,)-(P8+Q8)</f>
        <v>0</v>
      </c>
      <c r="S8" s="25"/>
      <c r="U8" s="25">
        <f>VLOOKUP($A$4:$A$30,'[6] Anexo VIII-TARIFAS BANCÁRIAS'!$A$3:$D$35,4,)</f>
        <v>13509.034775547998</v>
      </c>
      <c r="W8" s="29">
        <f>VLOOKUP($A$4:$A$30,'[6]Anexo III- Qde Prof_Empr_RRT'!$A$5:$X$37,3,)</f>
        <v>7366.3</v>
      </c>
      <c r="X8" s="29">
        <f>VLOOKUP($A$4:$A$30,'[6]Anexo III- Qde Prof_Empr_RRT'!$A$5:$X$37,6,)</f>
        <v>6563.3</v>
      </c>
      <c r="Y8" s="30">
        <f>VLOOKUP($A$4:$A$30,'[6]Anexo III- Qde Prof_Empr_RRT'!$A$5:$X$37,12,)</f>
        <v>30.857952554355279</v>
      </c>
      <c r="Z8" s="29">
        <f>VLOOKUP($A$4:$A$30,'[6]Anexo III- Qde Prof_Empr_RRT'!$A$5:$X$37,15,)</f>
        <v>1025</v>
      </c>
      <c r="AA8" s="30">
        <f>VLOOKUP($A$4:$A$30,'[6]Anexo III- Qde Prof_Empr_RRT'!$A$5:$X$37,21,)</f>
        <v>50.926829268292686</v>
      </c>
      <c r="AB8" s="29">
        <f>VLOOKUP($A$4:$A$30,'[6]Anexo III- Qde Prof_Empr_RRT'!$A$5:$X$37,24,)</f>
        <v>18270</v>
      </c>
      <c r="AD8" s="22">
        <v>0</v>
      </c>
      <c r="AF8" s="22">
        <f>VLOOKUP($A$4:$A$30,'[7]Demonstrativos 2020'!$A$6:$Y$32,25,)</f>
        <v>6314976.8100000005</v>
      </c>
      <c r="AG8" s="22"/>
      <c r="AH8" s="130">
        <v>14985284</v>
      </c>
      <c r="AJ8" s="43" t="s">
        <v>354</v>
      </c>
      <c r="AK8" s="41">
        <f>VLOOKUP($AK$2,'Diretrizes - Resumo'!$A$4:$I$30,3,)</f>
        <v>672571.16</v>
      </c>
      <c r="AM8" s="93" t="s">
        <v>838</v>
      </c>
      <c r="AN8" s="92">
        <f>VLOOKUP($AK$2,$A$4:$AF$30,29,)</f>
        <v>0</v>
      </c>
      <c r="AR8" s="28"/>
    </row>
    <row r="9" spans="1:44" ht="16.5" thickBot="1">
      <c r="A9" s="32" t="s">
        <v>795</v>
      </c>
      <c r="B9" s="25">
        <f>VLOOKUP($A$4:$A$30,'[5]Anexo V-Resumo Valor 80% '!$A$4:$Q$36,5,)</f>
        <v>1073890.6000000001</v>
      </c>
      <c r="C9" s="25">
        <f>VLOOKUP($A$4:$A$30,'[5]Anexo V-Resumo Valor 80% '!$A$4:$Q$36,6,)</f>
        <v>168626.54399999999</v>
      </c>
      <c r="D9" s="25">
        <f t="shared" si="3"/>
        <v>1242517.1440000001</v>
      </c>
      <c r="E9" s="25">
        <f>VLOOKUP($A$4:$A$30,'[5]Anexo V-Resumo Valor 80% '!$A$4:$Q$36,11,)</f>
        <v>95297.712</v>
      </c>
      <c r="F9" s="25">
        <f>VLOOKUP($A$4:$A$30,'[5]Anexo V-Resumo Valor 80% '!$A$4:$Q$36,12,)</f>
        <v>29076.736000000001</v>
      </c>
      <c r="G9" s="25">
        <f t="shared" si="4"/>
        <v>124374.448</v>
      </c>
      <c r="H9" s="25">
        <f>VLOOKUP($A$4:$A$30,'[5]Anexo V-Resumo Valor 80% '!$A$4:$Q$36,15,)</f>
        <v>1034072.71</v>
      </c>
      <c r="I9" s="25">
        <f>VLOOKUP($A$4:$A$30,'[5]Anexo V-Resumo Valor 80% '!$A$4:$Q$36,17,)</f>
        <v>107937.7</v>
      </c>
      <c r="J9" s="31">
        <f t="shared" si="2"/>
        <v>2508902.0020000003</v>
      </c>
      <c r="K9" s="65">
        <f>J9-VLOOKUP($A$4:$A$30,'[5]Anexo V-Resumo Valor 80% '!$A$4:$S$36,19,)</f>
        <v>0</v>
      </c>
      <c r="L9" s="25">
        <f>VLOOKUP($A$4:$A$30,'[6]Anexo VI.I-Aporte do FA'!$A$4:$C$33,3,)</f>
        <v>45719.891289323386</v>
      </c>
      <c r="M9" s="25"/>
      <c r="N9" s="25"/>
      <c r="P9" s="25">
        <f>VLOOKUP($A$4:$A$30,'[6]Anexo VII- CSC - SERV.'!$A$4:$D$37,4,)</f>
        <v>196102.85</v>
      </c>
      <c r="Q9" s="25">
        <f>VLOOKUP($A$4:$A$30,'[6]Anexo VII- CSC - SERV.'!$A$4:$F$38,6,)-P9</f>
        <v>23608.631521290605</v>
      </c>
      <c r="R9" s="66">
        <f>VLOOKUP($A$4:$A$30,'[6]Anexo VII- CSC - SERV.'!$A$4:$F$38,6,)-(P9+Q9)</f>
        <v>0</v>
      </c>
      <c r="S9" s="25">
        <f>VLOOKUP($A$4:$A$30,'[6]Anexo VII.III- SISCAF'!$A$10:$C$28,3,)</f>
        <v>17423.81414516392</v>
      </c>
      <c r="U9" s="25">
        <f>VLOOKUP($A$4:$A$30,'[6] Anexo VIII-TARIFAS BANCÁRIAS'!$A$3:$D$35,4,)</f>
        <v>8893.9349598320005</v>
      </c>
      <c r="W9" s="29">
        <f>VLOOKUP($A$4:$A$30,'[6]Anexo III- Qde Prof_Empr_RRT'!$A$5:$X$37,3,)</f>
        <v>4728</v>
      </c>
      <c r="X9" s="29">
        <f>VLOOKUP($A$4:$A$30,'[6]Anexo III- Qde Prof_Empr_RRT'!$A$5:$X$37,6,)</f>
        <v>4542</v>
      </c>
      <c r="Y9" s="30">
        <f>VLOOKUP($A$4:$A$30,'[6]Anexo III- Qde Prof_Empr_RRT'!$A$5:$X$37,12,)</f>
        <v>32.298546895640683</v>
      </c>
      <c r="Z9" s="29">
        <f>VLOOKUP($A$4:$A$30,'[6]Anexo III- Qde Prof_Empr_RRT'!$A$5:$X$37,15,)</f>
        <v>437</v>
      </c>
      <c r="AA9" s="30">
        <f>VLOOKUP($A$4:$A$30,'[6]Anexo III- Qde Prof_Empr_RRT'!$A$5:$X$37,21,)</f>
        <v>42.334096109839813</v>
      </c>
      <c r="AB9" s="29">
        <f>VLOOKUP($A$4:$A$30,'[6]Anexo III- Qde Prof_Empr_RRT'!$A$5:$X$37,24,)</f>
        <v>11943</v>
      </c>
      <c r="AD9" s="22">
        <v>0</v>
      </c>
      <c r="AF9" s="22">
        <f>VLOOKUP($A$4:$A$30,'[7]Demonstrativos 2020'!$A$6:$Y$32,25,)</f>
        <v>1187299.8600000001</v>
      </c>
      <c r="AG9" s="22"/>
      <c r="AH9" s="130">
        <v>9240580</v>
      </c>
      <c r="AJ9" s="36" t="s">
        <v>355</v>
      </c>
      <c r="AK9" s="44">
        <f>SUM(AK10:AK11)</f>
        <v>511756.49600000004</v>
      </c>
      <c r="AM9" s="36" t="s">
        <v>862</v>
      </c>
      <c r="AN9" s="41">
        <f>VLOOKUP($AK$2,$A$4:$AF$30,32,)</f>
        <v>9291279.5399999991</v>
      </c>
      <c r="AR9" s="28"/>
    </row>
    <row r="10" spans="1:44" ht="16.5" thickBot="1">
      <c r="A10" s="32" t="s">
        <v>798</v>
      </c>
      <c r="B10" s="25">
        <f>VLOOKUP($A$4:$A$30,'[5]Anexo V-Resumo Valor 80% '!$A$4:$Q$36,5,)</f>
        <v>1778840.4559999995</v>
      </c>
      <c r="C10" s="25">
        <f>VLOOKUP($A$4:$A$30,'[5]Anexo V-Resumo Valor 80% '!$A$4:$Q$36,6,)</f>
        <v>272509.68800000002</v>
      </c>
      <c r="D10" s="25">
        <f t="shared" si="3"/>
        <v>2051350.1439999996</v>
      </c>
      <c r="E10" s="25">
        <f>VLOOKUP($A$4:$A$30,'[5]Anexo V-Resumo Valor 80% '!$A$4:$Q$36,11,)</f>
        <v>133096.54399999999</v>
      </c>
      <c r="F10" s="25">
        <f>VLOOKUP($A$4:$A$30,'[5]Anexo V-Resumo Valor 80% '!$A$4:$Q$36,12,)</f>
        <v>53126.96</v>
      </c>
      <c r="G10" s="25">
        <f t="shared" si="4"/>
        <v>186223.50399999999</v>
      </c>
      <c r="H10" s="25">
        <f>VLOOKUP($A$4:$A$30,'[5]Anexo V-Resumo Valor 80% '!$A$4:$Q$36,15,)</f>
        <v>1539550.1</v>
      </c>
      <c r="I10" s="25">
        <f>VLOOKUP($A$4:$A$30,'[5]Anexo V-Resumo Valor 80% '!$A$4:$Q$36,17,)</f>
        <v>216423.76</v>
      </c>
      <c r="J10" s="31">
        <f t="shared" si="2"/>
        <v>3993547.5079999994</v>
      </c>
      <c r="K10" s="65">
        <f>J10-VLOOKUP($A$4:$A$30,'[5]Anexo V-Resumo Valor 80% '!$A$4:$S$36,19,)</f>
        <v>0</v>
      </c>
      <c r="L10" s="25">
        <f>VLOOKUP($A$4:$A$30,'[6]Anexo VI.I-Aporte do FA'!$A$4:$C$33,3,)</f>
        <v>72880.70202486412</v>
      </c>
      <c r="M10" s="25"/>
      <c r="N10" s="25"/>
      <c r="P10" s="25">
        <f>VLOOKUP($A$4:$A$30,'[6]Anexo VII- CSC - SERV.'!$A$4:$D$37,4,)</f>
        <v>312601.65000000002</v>
      </c>
      <c r="Q10" s="25">
        <f>VLOOKUP($A$4:$A$30,'[6]Anexo VII- CSC - SERV.'!$A$4:$F$38,6,)-P10</f>
        <v>42200.896909131261</v>
      </c>
      <c r="R10" s="66">
        <f>VLOOKUP($A$4:$A$30,'[6]Anexo VII- CSC - SERV.'!$A$4:$F$38,6,)-(P10+Q10)</f>
        <v>0</v>
      </c>
      <c r="S10" s="25"/>
      <c r="U10" s="25">
        <f>VLOOKUP($A$4:$A$30,'[6] Anexo VIII-TARIFAS BANCÁRIAS'!$A$3:$D$35,4,)</f>
        <v>14886.088719709998</v>
      </c>
      <c r="W10" s="29">
        <f>VLOOKUP($A$4:$A$30,'[6]Anexo III- Qde Prof_Empr_RRT'!$A$5:$X$37,3,)</f>
        <v>6845.6</v>
      </c>
      <c r="X10" s="29">
        <f>VLOOKUP($A$4:$A$30,'[6]Anexo III- Qde Prof_Empr_RRT'!$A$5:$X$37,6,)</f>
        <v>6318.6</v>
      </c>
      <c r="Y10" s="30">
        <f>VLOOKUP($A$4:$A$30,'[6]Anexo III- Qde Prof_Empr_RRT'!$A$5:$X$37,12,)</f>
        <v>26.581837748868423</v>
      </c>
      <c r="Z10" s="29">
        <f>VLOOKUP($A$4:$A$30,'[6]Anexo III- Qde Prof_Empr_RRT'!$A$5:$X$37,15,)</f>
        <v>804</v>
      </c>
      <c r="AA10" s="30">
        <f>VLOOKUP($A$4:$A$30,'[6]Anexo III- Qde Prof_Empr_RRT'!$A$5:$X$37,21,)</f>
        <v>56.218905472636813</v>
      </c>
      <c r="AB10" s="29">
        <f>VLOOKUP($A$4:$A$30,'[6]Anexo III- Qde Prof_Empr_RRT'!$A$5:$X$37,24,)</f>
        <v>17781</v>
      </c>
      <c r="AD10" s="22">
        <v>0</v>
      </c>
      <c r="AF10" s="22">
        <f>VLOOKUP($A$4:$A$30,'[7]Demonstrativos 2020'!$A$6:$Y$32,25,)</f>
        <v>1020703.8599999999</v>
      </c>
      <c r="AG10" s="22"/>
      <c r="AH10" s="130">
        <v>3094325</v>
      </c>
      <c r="AJ10" s="43" t="s">
        <v>356</v>
      </c>
      <c r="AK10" s="41">
        <f>VLOOKUP($AK$2,'Diretrizes - Resumo'!$A$4:$J$30,5,)</f>
        <v>430923.35200000007</v>
      </c>
      <c r="AR10" s="28"/>
    </row>
    <row r="11" spans="1:44" ht="16.5" thickBot="1">
      <c r="A11" s="32" t="s">
        <v>799</v>
      </c>
      <c r="B11" s="25">
        <f>VLOOKUP($A$4:$A$30,'[5]Anexo V-Resumo Valor 80% '!$A$4:$Q$36,5,)</f>
        <v>1437738.3759999999</v>
      </c>
      <c r="C11" s="25">
        <f>VLOOKUP($A$4:$A$30,'[5]Anexo V-Resumo Valor 80% '!$A$4:$Q$36,6,)</f>
        <v>82239.352000000014</v>
      </c>
      <c r="D11" s="25">
        <f t="shared" si="3"/>
        <v>1519977.7279999999</v>
      </c>
      <c r="E11" s="25">
        <f>VLOOKUP($A$4:$A$30,'[5]Anexo V-Resumo Valor 80% '!$A$4:$Q$36,11,)</f>
        <v>128752.43200000002</v>
      </c>
      <c r="F11" s="25">
        <f>VLOOKUP($A$4:$A$30,'[5]Anexo V-Resumo Valor 80% '!$A$4:$Q$36,12,)</f>
        <v>14149.88</v>
      </c>
      <c r="G11" s="25">
        <f t="shared" si="4"/>
        <v>142902.31200000001</v>
      </c>
      <c r="H11" s="25">
        <f>VLOOKUP($A$4:$A$30,'[5]Anexo V-Resumo Valor 80% '!$A$4:$Q$36,15,)</f>
        <v>1327246.1399999999</v>
      </c>
      <c r="I11" s="25">
        <f>VLOOKUP($A$4:$A$30,'[5]Anexo V-Resumo Valor 80% '!$A$4:$Q$36,17,)</f>
        <v>149580.47</v>
      </c>
      <c r="J11" s="31">
        <f t="shared" si="2"/>
        <v>3139706.6499999994</v>
      </c>
      <c r="K11" s="65">
        <f>J11-VLOOKUP($A$4:$A$30,'[5]Anexo V-Resumo Valor 80% '!$A$4:$S$36,19,)</f>
        <v>0</v>
      </c>
      <c r="L11" s="25">
        <f>VLOOKUP($A$4:$A$30,'[6]Anexo VI.I-Aporte do FA'!$A$4:$C$33,3,)</f>
        <v>57264.654858299888</v>
      </c>
      <c r="M11" s="25"/>
      <c r="N11" s="25"/>
      <c r="P11" s="25">
        <f>VLOOKUP($A$4:$A$30,'[6]Anexo VII- CSC - SERV.'!$A$4:$D$37,4,)</f>
        <v>245620.93</v>
      </c>
      <c r="Q11" s="25">
        <f>VLOOKUP($A$4:$A$30,'[6]Anexo VII- CSC - SERV.'!$A$4:$F$38,6,)-P11</f>
        <v>29557.581779246742</v>
      </c>
      <c r="R11" s="66">
        <f>VLOOKUP($A$4:$A$30,'[6]Anexo VII- CSC - SERV.'!$A$4:$F$38,6,)-(P11+Q11)</f>
        <v>0</v>
      </c>
      <c r="S11" s="25"/>
      <c r="U11" s="25">
        <f>VLOOKUP($A$4:$A$30,'[6] Anexo VIII-TARIFAS BANCÁRIAS'!$A$3:$D$35,4,)</f>
        <v>11997.369723430005</v>
      </c>
      <c r="W11" s="29">
        <f>VLOOKUP($A$4:$A$30,'[6]Anexo III- Qde Prof_Empr_RRT'!$A$5:$X$37,3,)</f>
        <v>4055</v>
      </c>
      <c r="X11" s="29">
        <f>VLOOKUP($A$4:$A$30,'[6]Anexo III- Qde Prof_Empr_RRT'!$A$5:$X$37,6,)</f>
        <v>3960</v>
      </c>
      <c r="Y11" s="30">
        <f>VLOOKUP($A$4:$A$30,'[6]Anexo III- Qde Prof_Empr_RRT'!$A$5:$X$37,12,)</f>
        <v>6.868686868686865</v>
      </c>
      <c r="Z11" s="29">
        <f>VLOOKUP($A$4:$A$30,'[6]Anexo III- Qde Prof_Empr_RRT'!$A$5:$X$37,15,)</f>
        <v>484</v>
      </c>
      <c r="AA11" s="30">
        <f>VLOOKUP($A$4:$A$30,'[6]Anexo III- Qde Prof_Empr_RRT'!$A$5:$X$37,21,)</f>
        <v>29.545454545454547</v>
      </c>
      <c r="AB11" s="29">
        <f>VLOOKUP($A$4:$A$30,'[6]Anexo III- Qde Prof_Empr_RRT'!$A$5:$X$37,24,)</f>
        <v>15329</v>
      </c>
      <c r="AD11" s="22">
        <v>0</v>
      </c>
      <c r="AF11" s="22">
        <f>VLOOKUP($A$4:$A$30,'[7]Demonstrativos 2020'!$A$6:$Y$32,25,)</f>
        <v>2085182.6499999997</v>
      </c>
      <c r="AG11" s="22"/>
      <c r="AH11" s="130">
        <v>4108508</v>
      </c>
      <c r="AJ11" s="43" t="s">
        <v>357</v>
      </c>
      <c r="AK11" s="41">
        <f>VLOOKUP($AK$2,'Diretrizes - Resumo'!$A$4:$I$30,6,)</f>
        <v>80833.144</v>
      </c>
      <c r="AR11" s="28"/>
    </row>
    <row r="12" spans="1:44" ht="16.5" thickBot="1">
      <c r="A12" s="32" t="s">
        <v>802</v>
      </c>
      <c r="B12" s="25">
        <f>VLOOKUP($A$4:$A$30,'[5]Anexo V-Resumo Valor 80% '!$A$4:$Q$36,5,)</f>
        <v>1379093.6640000001</v>
      </c>
      <c r="C12" s="25">
        <f>VLOOKUP($A$4:$A$30,'[5]Anexo V-Resumo Valor 80% '!$A$4:$Q$36,6,)</f>
        <v>221931.152</v>
      </c>
      <c r="D12" s="25">
        <f t="shared" si="3"/>
        <v>1601024.8160000001</v>
      </c>
      <c r="E12" s="25">
        <f>VLOOKUP($A$4:$A$30,'[5]Anexo V-Resumo Valor 80% '!$A$4:$Q$36,11,)</f>
        <v>82964.975999999995</v>
      </c>
      <c r="F12" s="25">
        <f>VLOOKUP($A$4:$A$30,'[5]Anexo V-Resumo Valor 80% '!$A$4:$Q$36,12,)</f>
        <v>90843.423999999999</v>
      </c>
      <c r="G12" s="25">
        <f t="shared" si="4"/>
        <v>173808.4</v>
      </c>
      <c r="H12" s="25">
        <f>VLOOKUP($A$4:$A$30,'[5]Anexo V-Resumo Valor 80% '!$A$4:$Q$36,15,)</f>
        <v>2651635</v>
      </c>
      <c r="I12" s="25">
        <f>VLOOKUP($A$4:$A$30,'[5]Anexo V-Resumo Valor 80% '!$A$4:$Q$36,17,)</f>
        <v>158024.91</v>
      </c>
      <c r="J12" s="31">
        <f t="shared" si="2"/>
        <v>4584493.1260000002</v>
      </c>
      <c r="K12" s="65">
        <f>J12-VLOOKUP($A$4:$A$30,'[5]Anexo V-Resumo Valor 80% '!$A$4:$S$36,19,)</f>
        <v>0</v>
      </c>
      <c r="L12" s="25">
        <f>VLOOKUP($A$4:$A$30,'[6]Anexo VI.I-Aporte do FA'!$A$4:$C$33,3,)</f>
        <v>84498.899430433084</v>
      </c>
      <c r="M12" s="25"/>
      <c r="N12" s="25"/>
      <c r="P12" s="25">
        <f>VLOOKUP($A$4:$A$30,'[6]Anexo VII- CSC - SERV.'!$A$4:$D$37,4,)</f>
        <v>362434.7</v>
      </c>
      <c r="Q12" s="25">
        <f>VLOOKUP($A$4:$A$30,'[6]Anexo VII- CSC - SERV.'!$A$4:$F$38,6,)-P12</f>
        <v>43313.642250348523</v>
      </c>
      <c r="R12" s="66">
        <f>VLOOKUP($A$4:$A$30,'[6]Anexo VII- CSC - SERV.'!$A$4:$F$38,6,)-(P12+Q12)</f>
        <v>0</v>
      </c>
      <c r="S12" s="25"/>
      <c r="U12" s="25">
        <f>VLOOKUP($A$4:$A$30,'[6] Anexo VIII-TARIFAS BANCÁRIAS'!$A$3:$D$35,4,)</f>
        <v>20244.566489575998</v>
      </c>
      <c r="W12" s="29">
        <f>VLOOKUP($A$4:$A$30,'[6]Anexo III- Qde Prof_Empr_RRT'!$A$5:$X$37,3,)</f>
        <v>5336</v>
      </c>
      <c r="X12" s="29">
        <f>VLOOKUP($A$4:$A$30,'[6]Anexo III- Qde Prof_Empr_RRT'!$A$5:$X$37,6,)</f>
        <v>5100</v>
      </c>
      <c r="Y12" s="30">
        <f>VLOOKUP($A$4:$A$30,'[6]Anexo III- Qde Prof_Empr_RRT'!$A$5:$X$37,12,)</f>
        <v>28.274509803921561</v>
      </c>
      <c r="Z12" s="29">
        <f>VLOOKUP($A$4:$A$30,'[6]Anexo III- Qde Prof_Empr_RRT'!$A$5:$X$37,15,)</f>
        <v>721</v>
      </c>
      <c r="AA12" s="30">
        <f>VLOOKUP($A$4:$A$30,'[6]Anexo III- Qde Prof_Empr_RRT'!$A$5:$X$37,21,)</f>
        <v>69.625520110957012</v>
      </c>
      <c r="AB12" s="29">
        <f>VLOOKUP($A$4:$A$30,'[6]Anexo III- Qde Prof_Empr_RRT'!$A$5:$X$37,24,)</f>
        <v>30625</v>
      </c>
      <c r="AD12" s="22">
        <v>0</v>
      </c>
      <c r="AF12" s="22">
        <f>VLOOKUP($A$4:$A$30,'[7]Demonstrativos 2020'!$A$6:$Y$32,25,)</f>
        <v>2015911.7999999998</v>
      </c>
      <c r="AG12" s="22"/>
      <c r="AH12" s="130">
        <v>7206589</v>
      </c>
      <c r="AJ12" s="38" t="s">
        <v>358</v>
      </c>
      <c r="AK12" s="41">
        <f>VLOOKUP($AK$2,'Diretrizes - Resumo'!$A$4:$I$30,8,)</f>
        <v>4935114.83</v>
      </c>
      <c r="AR12" s="28"/>
    </row>
    <row r="13" spans="1:44" ht="16.5" thickBot="1">
      <c r="A13" s="32" t="s">
        <v>804</v>
      </c>
      <c r="B13" s="25">
        <f>VLOOKUP($A$4:$A$30,'[5]Anexo V-Resumo Valor 80% '!$A$4:$Q$36,5,)</f>
        <v>511040.36800000002</v>
      </c>
      <c r="C13" s="25">
        <f>VLOOKUP($A$4:$A$30,'[5]Anexo V-Resumo Valor 80% '!$A$4:$Q$36,6,)</f>
        <v>104363.144</v>
      </c>
      <c r="D13" s="25">
        <f t="shared" si="3"/>
        <v>615403.51199999999</v>
      </c>
      <c r="E13" s="25">
        <f>VLOOKUP($A$4:$A$30,'[5]Anexo V-Resumo Valor 80% '!$A$4:$Q$36,11,)</f>
        <v>41637.815999999999</v>
      </c>
      <c r="F13" s="25">
        <f>VLOOKUP($A$4:$A$30,'[5]Anexo V-Resumo Valor 80% '!$A$4:$Q$36,12,)</f>
        <v>37561.279999999999</v>
      </c>
      <c r="G13" s="25">
        <f t="shared" si="4"/>
        <v>79199.09599999999</v>
      </c>
      <c r="H13" s="25">
        <f>VLOOKUP($A$4:$A$30,'[5]Anexo V-Resumo Valor 80% '!$A$4:$Q$36,15,)</f>
        <v>479848.53</v>
      </c>
      <c r="I13" s="25">
        <f>VLOOKUP($A$4:$A$30,'[5]Anexo V-Resumo Valor 80% '!$A$4:$Q$36,17,)</f>
        <v>52850.3</v>
      </c>
      <c r="J13" s="31">
        <f t="shared" si="2"/>
        <v>1227301.4380000001</v>
      </c>
      <c r="K13" s="65">
        <f>J13-VLOOKUP($A$4:$A$30,'[5]Anexo V-Resumo Valor 80% '!$A$4:$S$36,19,)</f>
        <v>0</v>
      </c>
      <c r="L13" s="25">
        <f>VLOOKUP($A$4:$A$30,'[6]Anexo VI.I-Aporte do FA'!$A$4:$C$33,3,)</f>
        <v>22699.741551492109</v>
      </c>
      <c r="M13" s="25">
        <f>'[6]Anexo VI-Repasse Fundo de Apoio'!$G$16</f>
        <v>17240</v>
      </c>
      <c r="N13" s="25">
        <f>'[6]Anexo VI-Repasse Fundo de Apoio'!$H$16</f>
        <v>124511.19545994185</v>
      </c>
      <c r="P13" s="25">
        <f>VLOOKUP($A$4:$A$30,'[6]Anexo VII- CSC - SERV.'!$A$4:$D$37,4,)</f>
        <v>97364.27</v>
      </c>
      <c r="Q13" s="25">
        <f>VLOOKUP($A$4:$A$30,'[6]Anexo VII- CSC - SERV.'!$A$4:$F$38,6,)-P13</f>
        <v>11374.589459941722</v>
      </c>
      <c r="R13" s="66">
        <f>VLOOKUP($A$4:$A$30,'[6]Anexo VII- CSC - SERV.'!$A$4:$F$38,6,)-(P13+Q13)</f>
        <v>0</v>
      </c>
      <c r="S13" s="25"/>
      <c r="U13" s="25">
        <f>VLOOKUP($A$4:$A$30,'[6] Anexo VIII-TARIFAS BANCÁRIAS'!$A$3:$D$35,4,)</f>
        <v>4047.925050624001</v>
      </c>
      <c r="W13" s="29">
        <f>VLOOKUP($A$4:$A$30,'[6]Anexo III- Qde Prof_Empr_RRT'!$A$5:$X$37,3,)</f>
        <v>2161</v>
      </c>
      <c r="X13" s="29">
        <f>VLOOKUP($A$4:$A$30,'[6]Anexo III- Qde Prof_Empr_RRT'!$A$5:$X$37,6,)</f>
        <v>2133</v>
      </c>
      <c r="Y13" s="30">
        <f>VLOOKUP($A$4:$A$30,'[6]Anexo III- Qde Prof_Empr_RRT'!$A$5:$X$37,12,)</f>
        <v>35.067979371776829</v>
      </c>
      <c r="Z13" s="29">
        <f>VLOOKUP($A$4:$A$30,'[6]Anexo III- Qde Prof_Empr_RRT'!$A$5:$X$37,15,)</f>
        <v>301</v>
      </c>
      <c r="AA13" s="30">
        <f>VLOOKUP($A$4:$A$30,'[6]Anexo III- Qde Prof_Empr_RRT'!$A$5:$X$37,21,)</f>
        <v>63.455149501661126</v>
      </c>
      <c r="AB13" s="29">
        <f>VLOOKUP($A$4:$A$30,'[6]Anexo III- Qde Prof_Empr_RRT'!$A$5:$X$37,24,)</f>
        <v>5542</v>
      </c>
      <c r="AD13" s="22">
        <v>0</v>
      </c>
      <c r="AF13" s="22">
        <f>VLOOKUP($A$4:$A$30,'[7]Demonstrativos 2020'!$A$6:$Y$32,25,)</f>
        <v>67318.429999999993</v>
      </c>
      <c r="AG13" s="22"/>
      <c r="AH13" s="130">
        <v>7153262</v>
      </c>
      <c r="AJ13" s="38" t="s">
        <v>863</v>
      </c>
      <c r="AK13" s="41">
        <f>VLOOKUP($AK$2,'Diretrizes - Resumo'!$A$4:$I$30,9,)</f>
        <v>592965.98</v>
      </c>
      <c r="AR13" s="28"/>
    </row>
    <row r="14" spans="1:44" ht="16.5" thickBot="1">
      <c r="A14" s="32" t="s">
        <v>17</v>
      </c>
      <c r="B14" s="25">
        <f>VLOOKUP($A$4:$A$30,'[5]Anexo V-Resumo Valor 80% '!$A$4:$Q$36,5,)</f>
        <v>4786978.784</v>
      </c>
      <c r="C14" s="25">
        <f>VLOOKUP($A$4:$A$30,'[5]Anexo V-Resumo Valor 80% '!$A$4:$Q$36,6,)</f>
        <v>672571.16</v>
      </c>
      <c r="D14" s="25">
        <f t="shared" si="3"/>
        <v>5459549.9440000001</v>
      </c>
      <c r="E14" s="25">
        <f>VLOOKUP($A$4:$A$30,'[5]Anexo V-Resumo Valor 80% '!$A$4:$Q$36,11,)</f>
        <v>430923.35200000007</v>
      </c>
      <c r="F14" s="25">
        <f>VLOOKUP($A$4:$A$30,'[5]Anexo V-Resumo Valor 80% '!$A$4:$Q$36,12,)</f>
        <v>80833.144</v>
      </c>
      <c r="G14" s="25">
        <f t="shared" si="4"/>
        <v>511756.49600000004</v>
      </c>
      <c r="H14" s="25">
        <f>VLOOKUP($A$4:$A$30,'[5]Anexo V-Resumo Valor 80% '!$A$4:$Q$36,15,)</f>
        <v>4935114.83</v>
      </c>
      <c r="I14" s="25">
        <f>VLOOKUP($A$4:$A$30,'[5]Anexo V-Resumo Valor 80% '!$A$4:$Q$36,17,)</f>
        <v>592965.98</v>
      </c>
      <c r="J14" s="31">
        <f t="shared" si="2"/>
        <v>11499387.25</v>
      </c>
      <c r="K14" s="65">
        <f>J14-VLOOKUP($A$4:$A$30,'[5]Anexo V-Resumo Valor 80% '!$A$4:$S$36,19,)</f>
        <v>0</v>
      </c>
      <c r="L14" s="25">
        <f>VLOOKUP($A$4:$A$30,'[6]Anexo VI.I-Aporte do FA'!$A$4:$C$33,3,)</f>
        <v>208977.01377463364</v>
      </c>
      <c r="M14" s="25"/>
      <c r="N14" s="25"/>
      <c r="P14" s="25">
        <f>VLOOKUP($A$4:$A$30,'[6]Anexo VII- CSC - SERV.'!$A$4:$D$37,4,)</f>
        <v>896349.2</v>
      </c>
      <c r="Q14" s="25">
        <f>VLOOKUP($A$4:$A$30,'[6]Anexo VII- CSC - SERV.'!$A$4:$F$38,6,)-P14</f>
        <v>111232.1710148775</v>
      </c>
      <c r="R14" s="66">
        <f>VLOOKUP($A$4:$A$30,'[6]Anexo VII- CSC - SERV.'!$A$4:$F$38,6,)-(P14+Q14)</f>
        <v>0</v>
      </c>
      <c r="S14" s="25"/>
      <c r="U14" s="25">
        <f>VLOOKUP($A$4:$A$30,'[6] Anexo VIII-TARIFAS BANCÁRIAS'!$A$3:$D$35,4,)</f>
        <v>47746.521404244006</v>
      </c>
      <c r="W14" s="29">
        <f>VLOOKUP($A$4:$A$30,'[6]Anexo III- Qde Prof_Empr_RRT'!$A$5:$X$37,3,)</f>
        <v>17458</v>
      </c>
      <c r="X14" s="29">
        <f>VLOOKUP($A$4:$A$30,'[6]Anexo III- Qde Prof_Empr_RRT'!$A$5:$X$37,6,)</f>
        <v>16749</v>
      </c>
      <c r="Y14" s="30">
        <f>VLOOKUP($A$4:$A$30,'[6]Anexo III- Qde Prof_Empr_RRT'!$A$5:$X$37,12,)</f>
        <v>24.67610006567557</v>
      </c>
      <c r="Z14" s="29">
        <f>VLOOKUP($A$4:$A$30,'[6]Anexo III- Qde Prof_Empr_RRT'!$A$5:$X$37,15,)</f>
        <v>1892</v>
      </c>
      <c r="AA14" s="30">
        <f>VLOOKUP($A$4:$A$30,'[6]Anexo III- Qde Prof_Empr_RRT'!$A$5:$X$37,21,)</f>
        <v>39.746300211416482</v>
      </c>
      <c r="AB14" s="29">
        <f>VLOOKUP($A$4:$A$30,'[6]Anexo III- Qde Prof_Empr_RRT'!$A$5:$X$37,24,)</f>
        <v>56998</v>
      </c>
      <c r="AD14" s="22">
        <v>0</v>
      </c>
      <c r="AF14" s="22">
        <f>VLOOKUP($A$4:$A$30,'[7]Demonstrativos 2020'!$A$6:$Y$32,25,)</f>
        <v>9291279.5399999991</v>
      </c>
      <c r="AG14" s="22"/>
      <c r="AH14" s="130">
        <v>21411923</v>
      </c>
      <c r="AJ14" s="38" t="s">
        <v>360</v>
      </c>
      <c r="AK14" s="40"/>
      <c r="AR14" s="28"/>
    </row>
    <row r="15" spans="1:44" ht="16.5" thickBot="1">
      <c r="A15" s="32" t="s">
        <v>806</v>
      </c>
      <c r="B15" s="25">
        <f>VLOOKUP($A$4:$A$30,'[5]Anexo V-Resumo Valor 80% '!$A$4:$Q$36,5,)</f>
        <v>854276.04800000007</v>
      </c>
      <c r="C15" s="25">
        <f>VLOOKUP($A$4:$A$30,'[5]Anexo V-Resumo Valor 80% '!$A$4:$Q$36,6,)</f>
        <v>228507.67200000002</v>
      </c>
      <c r="D15" s="25">
        <f t="shared" si="3"/>
        <v>1082783.7200000002</v>
      </c>
      <c r="E15" s="25">
        <f>VLOOKUP($A$4:$A$30,'[5]Anexo V-Resumo Valor 80% '!$A$4:$Q$36,11,)</f>
        <v>121900.35200000001</v>
      </c>
      <c r="F15" s="25">
        <f>VLOOKUP($A$4:$A$30,'[5]Anexo V-Resumo Valor 80% '!$A$4:$Q$36,12,)</f>
        <v>53173.90400000001</v>
      </c>
      <c r="G15" s="25">
        <f t="shared" si="4"/>
        <v>175074.25600000002</v>
      </c>
      <c r="H15" s="25">
        <f>VLOOKUP($A$4:$A$30,'[5]Anexo V-Resumo Valor 80% '!$A$4:$Q$36,15,)</f>
        <v>1860776.74</v>
      </c>
      <c r="I15" s="25">
        <f>VLOOKUP($A$4:$A$30,'[5]Anexo V-Resumo Valor 80% '!$A$4:$Q$36,17,)</f>
        <v>144739.51999999999</v>
      </c>
      <c r="J15" s="31">
        <f t="shared" si="2"/>
        <v>3263374.236</v>
      </c>
      <c r="K15" s="65">
        <f>J15-VLOOKUP($A$4:$A$30,'[5]Anexo V-Resumo Valor 80% '!$A$4:$S$36,19,)</f>
        <v>0</v>
      </c>
      <c r="L15" s="25">
        <f>VLOOKUP($A$4:$A$30,'[6]Anexo VI.I-Aporte do FA'!$A$4:$C$33,3,)</f>
        <v>59706.587859465071</v>
      </c>
      <c r="M15" s="25"/>
      <c r="N15" s="25"/>
      <c r="P15" s="25">
        <f>VLOOKUP($A$4:$A$30,'[6]Anexo VII- CSC - SERV.'!$A$4:$D$37,4,)</f>
        <v>256094.92</v>
      </c>
      <c r="Q15" s="25">
        <f>VLOOKUP($A$4:$A$30,'[6]Anexo VII- CSC - SERV.'!$A$4:$F$38,6,)-P15</f>
        <v>30235.562340461736</v>
      </c>
      <c r="R15" s="66">
        <f>VLOOKUP($A$4:$A$30,'[6]Anexo VII- CSC - SERV.'!$A$4:$F$38,6,)-(P15+Q15)</f>
        <v>0</v>
      </c>
      <c r="S15" s="25"/>
      <c r="U15" s="25">
        <f>VLOOKUP($A$4:$A$30,'[6] Anexo VIII-TARIFAS BANCÁRIAS'!$A$3:$D$35,4,)</f>
        <v>14188.692829558004</v>
      </c>
      <c r="W15" s="29">
        <f>VLOOKUP($A$4:$A$30,'[6]Anexo III- Qde Prof_Empr_RRT'!$A$5:$X$37,3,)</f>
        <v>3649</v>
      </c>
      <c r="X15" s="29">
        <f>VLOOKUP($A$4:$A$30,'[6]Anexo III- Qde Prof_Empr_RRT'!$A$5:$X$37,6,)</f>
        <v>3554</v>
      </c>
      <c r="Y15" s="30">
        <f>VLOOKUP($A$4:$A$30,'[6]Anexo III- Qde Prof_Empr_RRT'!$A$5:$X$37,12,)</f>
        <v>36.381541924592007</v>
      </c>
      <c r="Z15" s="29">
        <f>VLOOKUP($A$4:$A$30,'[6]Anexo III- Qde Prof_Empr_RRT'!$A$5:$X$37,15,)</f>
        <v>686</v>
      </c>
      <c r="AA15" s="30">
        <f>VLOOKUP($A$4:$A$30,'[6]Anexo III- Qde Prof_Empr_RRT'!$A$5:$X$37,21,)</f>
        <v>52.915451895043731</v>
      </c>
      <c r="AB15" s="29">
        <f>VLOOKUP($A$4:$A$30,'[6]Anexo III- Qde Prof_Empr_RRT'!$A$5:$X$37,24,)</f>
        <v>21491</v>
      </c>
      <c r="AD15" s="22">
        <v>0</v>
      </c>
      <c r="AF15" s="22">
        <f>VLOOKUP($A$4:$A$30,'[7]Demonstrativos 2020'!$A$6:$Y$32,25,)</f>
        <v>715780.57</v>
      </c>
      <c r="AG15" s="22"/>
      <c r="AH15" s="130">
        <v>2839188</v>
      </c>
      <c r="AJ15" s="38" t="s">
        <v>361</v>
      </c>
      <c r="AK15" s="37">
        <f>VLOOKUP($AK$2,'Diretrizes - Resumo'!$A$4:$U$30,21,)</f>
        <v>47746.521404244006</v>
      </c>
      <c r="AO15" s="281"/>
      <c r="AR15" s="28"/>
    </row>
    <row r="16" spans="1:44" ht="16.5" thickBot="1">
      <c r="A16" s="32" t="s">
        <v>808</v>
      </c>
      <c r="B16" s="25">
        <f>VLOOKUP($A$4:$A$30,'[5]Anexo V-Resumo Valor 80% '!$A$4:$Q$36,5,)</f>
        <v>1059141.1679999998</v>
      </c>
      <c r="C16" s="25">
        <f>VLOOKUP($A$4:$A$30,'[5]Anexo V-Resumo Valor 80% '!$A$4:$Q$36,6,)</f>
        <v>128444.17600000001</v>
      </c>
      <c r="D16" s="25">
        <f t="shared" si="3"/>
        <v>1187585.3439999998</v>
      </c>
      <c r="E16" s="25">
        <f>VLOOKUP($A$4:$A$30,'[5]Anexo V-Resumo Valor 80% '!$A$4:$Q$36,11,)</f>
        <v>108266.90399999998</v>
      </c>
      <c r="F16" s="25">
        <f>VLOOKUP($A$4:$A$30,'[5]Anexo V-Resumo Valor 80% '!$A$4:$Q$36,12,)</f>
        <v>47635.456000000006</v>
      </c>
      <c r="G16" s="25">
        <f t="shared" si="4"/>
        <v>155902.35999999999</v>
      </c>
      <c r="H16" s="25">
        <f>VLOOKUP($A$4:$A$30,'[5]Anexo V-Resumo Valor 80% '!$A$4:$Q$36,15,)</f>
        <v>2977710.34</v>
      </c>
      <c r="I16" s="25">
        <f>VLOOKUP($A$4:$A$30,'[5]Anexo V-Resumo Valor 80% '!$A$4:$Q$36,17,)</f>
        <v>129635.94</v>
      </c>
      <c r="J16" s="31">
        <f t="shared" si="2"/>
        <v>4450833.9839999992</v>
      </c>
      <c r="K16" s="65">
        <f>J16-VLOOKUP($A$4:$A$30,'[5]Anexo V-Resumo Valor 80% '!$A$4:$S$36,19,)</f>
        <v>0</v>
      </c>
      <c r="L16" s="25">
        <f>VLOOKUP($A$4:$A$30,'[6]Anexo VI.I-Aporte do FA'!$A$4:$C$33,3,)</f>
        <v>81621.154888239675</v>
      </c>
      <c r="M16" s="25"/>
      <c r="N16" s="25"/>
      <c r="P16" s="25">
        <f>VLOOKUP($A$4:$A$30,'[6]Anexo VII- CSC - SERV.'!$A$4:$D$37,4,)</f>
        <v>350091.41</v>
      </c>
      <c r="Q16" s="25">
        <f>VLOOKUP($A$4:$A$30,'[6]Anexo VII- CSC - SERV.'!$A$4:$F$38,6,)-P16</f>
        <v>42028.667586903612</v>
      </c>
      <c r="R16" s="66">
        <f>VLOOKUP($A$4:$A$30,'[6]Anexo VII- CSC - SERV.'!$A$4:$F$38,6,)-(P16+Q16)</f>
        <v>0</v>
      </c>
      <c r="S16" s="25"/>
      <c r="U16" s="25">
        <f>VLOOKUP($A$4:$A$30,'[6] Anexo VIII-TARIFAS BANCÁRIAS'!$A$3:$D$35,4,)</f>
        <v>18539.373852427998</v>
      </c>
      <c r="W16" s="29">
        <f>VLOOKUP($A$4:$A$30,'[6]Anexo III- Qde Prof_Empr_RRT'!$A$5:$X$37,3,)</f>
        <v>3626</v>
      </c>
      <c r="X16" s="29">
        <f>VLOOKUP($A$4:$A$30,'[6]Anexo III- Qde Prof_Empr_RRT'!$A$5:$X$37,6,)</f>
        <v>3563</v>
      </c>
      <c r="Y16" s="30">
        <f>VLOOKUP($A$4:$A$30,'[6]Anexo III- Qde Prof_Empr_RRT'!$A$5:$X$37,12,)</f>
        <v>23.294976143699131</v>
      </c>
      <c r="Z16" s="29">
        <f>VLOOKUP($A$4:$A$30,'[6]Anexo III- Qde Prof_Empr_RRT'!$A$5:$X$37,15,)</f>
        <v>643</v>
      </c>
      <c r="AA16" s="30">
        <f>VLOOKUP($A$4:$A$30,'[6]Anexo III- Qde Prof_Empr_RRT'!$A$5:$X$37,21,)</f>
        <v>55.520995334370141</v>
      </c>
      <c r="AB16" s="29">
        <f>VLOOKUP($A$4:$A$30,'[6]Anexo III- Qde Prof_Empr_RRT'!$A$5:$X$37,24,)</f>
        <v>34391</v>
      </c>
      <c r="AD16" s="22">
        <v>0</v>
      </c>
      <c r="AF16" s="22">
        <f>VLOOKUP($A$4:$A$30,'[7]Demonstrativos 2020'!$A$6:$Y$32,25,)</f>
        <v>1836973.55</v>
      </c>
      <c r="AG16" s="22"/>
      <c r="AH16" s="130">
        <v>3567234</v>
      </c>
      <c r="AJ16" s="38" t="s">
        <v>362</v>
      </c>
      <c r="AK16" s="37">
        <f>VLOOKUP($AK$2,'Diretrizes - Resumo'!$A$4:$N$30,14,)</f>
        <v>0</v>
      </c>
      <c r="AR16" s="28"/>
    </row>
    <row r="17" spans="1:44" ht="16.5" thickBot="1">
      <c r="A17" s="32" t="s">
        <v>810</v>
      </c>
      <c r="B17" s="25">
        <f>VLOOKUP($A$4:$A$30,'[5]Anexo V-Resumo Valor 80% '!$A$4:$Q$36,5,)</f>
        <v>631256.57600000012</v>
      </c>
      <c r="C17" s="25">
        <f>VLOOKUP($A$4:$A$30,'[5]Anexo V-Resumo Valor 80% '!$A$4:$Q$36,6,)</f>
        <v>288818.38400000002</v>
      </c>
      <c r="D17" s="25">
        <f t="shared" si="3"/>
        <v>920074.9600000002</v>
      </c>
      <c r="E17" s="25">
        <f>VLOOKUP($A$4:$A$30,'[5]Anexo V-Resumo Valor 80% '!$A$4:$Q$36,11,)</f>
        <v>51412.072</v>
      </c>
      <c r="F17" s="25">
        <f>VLOOKUP($A$4:$A$30,'[5]Anexo V-Resumo Valor 80% '!$A$4:$Q$36,12,)</f>
        <v>30925.567999999999</v>
      </c>
      <c r="G17" s="25">
        <f t="shared" si="4"/>
        <v>82337.64</v>
      </c>
      <c r="H17" s="25">
        <f>VLOOKUP($A$4:$A$30,'[5]Anexo V-Resumo Valor 80% '!$A$4:$Q$36,15,)</f>
        <v>718127.7</v>
      </c>
      <c r="I17" s="25">
        <f>VLOOKUP($A$4:$A$30,'[5]Anexo V-Resumo Valor 80% '!$A$4:$Q$36,17,)</f>
        <v>77424.31</v>
      </c>
      <c r="J17" s="31">
        <f t="shared" si="2"/>
        <v>1797964.6100000003</v>
      </c>
      <c r="K17" s="65">
        <f>J17-VLOOKUP($A$4:$A$30,'[5]Anexo V-Resumo Valor 80% '!$A$4:$S$36,19,)</f>
        <v>0</v>
      </c>
      <c r="L17" s="25">
        <f>VLOOKUP($A$4:$A$30,'[6]Anexo VI.I-Aporte do FA'!$A$4:$C$33,3,)</f>
        <v>32368.105936475167</v>
      </c>
      <c r="M17" s="25"/>
      <c r="N17" s="25"/>
      <c r="P17" s="25">
        <f>VLOOKUP($A$4:$A$30,'[6]Anexo VII- CSC - SERV.'!$A$4:$D$37,4,)</f>
        <v>138834.04999999999</v>
      </c>
      <c r="Q17" s="25">
        <f>VLOOKUP($A$4:$A$30,'[6]Anexo VII- CSC - SERV.'!$A$4:$F$38,6,)-P17</f>
        <v>16260.147768444294</v>
      </c>
      <c r="R17" s="66">
        <f>VLOOKUP($A$4:$A$30,'[6]Anexo VII- CSC - SERV.'!$A$4:$F$38,6,)-(P17+Q17)</f>
        <v>0</v>
      </c>
      <c r="S17" s="25"/>
      <c r="U17" s="25">
        <f>VLOOKUP($A$4:$A$30,'[6] Anexo VIII-TARIFAS BANCÁRIAS'!$A$3:$D$35,4,)</f>
        <v>7872.5147328100011</v>
      </c>
      <c r="W17" s="29">
        <f>VLOOKUP($A$4:$A$30,'[6]Anexo III- Qde Prof_Empr_RRT'!$A$5:$X$37,3,)</f>
        <v>3191.6</v>
      </c>
      <c r="X17" s="29">
        <f>VLOOKUP($A$4:$A$30,'[6]Anexo III- Qde Prof_Empr_RRT'!$A$5:$X$37,6,)</f>
        <v>3024.6</v>
      </c>
      <c r="Y17" s="30">
        <f>VLOOKUP($A$4:$A$30,'[6]Anexo III- Qde Prof_Empr_RRT'!$A$5:$X$37,12,)</f>
        <v>42.306420683726778</v>
      </c>
      <c r="Z17" s="29">
        <f>VLOOKUP($A$4:$A$30,'[6]Anexo III- Qde Prof_Empr_RRT'!$A$5:$X$37,15,)</f>
        <v>435</v>
      </c>
      <c r="AA17" s="30">
        <f>VLOOKUP($A$4:$A$30,'[6]Anexo III- Qde Prof_Empr_RRT'!$A$5:$X$37,21,)</f>
        <v>68.735632183908052</v>
      </c>
      <c r="AB17" s="29">
        <f>VLOOKUP($A$4:$A$30,'[6]Anexo III- Qde Prof_Empr_RRT'!$A$5:$X$37,24,)</f>
        <v>8294</v>
      </c>
      <c r="AD17" s="22">
        <v>0</v>
      </c>
      <c r="AF17" s="22">
        <f>VLOOKUP($A$4:$A$30,'[7]Demonstrativos 2020'!$A$6:$Y$32,25,)</f>
        <v>1313598.9600000002</v>
      </c>
      <c r="AG17" s="22"/>
      <c r="AH17" s="130">
        <v>8777124</v>
      </c>
      <c r="AJ17" s="10"/>
      <c r="AK17" s="34"/>
      <c r="AR17" s="28"/>
    </row>
    <row r="18" spans="1:44" ht="16.5" thickBot="1">
      <c r="A18" s="32" t="s">
        <v>812</v>
      </c>
      <c r="B18" s="25">
        <f>VLOOKUP($A$4:$A$30,'[5]Anexo V-Resumo Valor 80% '!$A$4:$Q$36,5,)</f>
        <v>779545.16800000006</v>
      </c>
      <c r="C18" s="25">
        <f>VLOOKUP($A$4:$A$30,'[5]Anexo V-Resumo Valor 80% '!$A$4:$Q$36,6,)</f>
        <v>158167.88800000001</v>
      </c>
      <c r="D18" s="25">
        <f t="shared" si="3"/>
        <v>937713.0560000001</v>
      </c>
      <c r="E18" s="25">
        <f>VLOOKUP($A$4:$A$30,'[5]Anexo V-Resumo Valor 80% '!$A$4:$Q$36,11,)</f>
        <v>67108.960000000006</v>
      </c>
      <c r="F18" s="25">
        <f>VLOOKUP($A$4:$A$30,'[5]Anexo V-Resumo Valor 80% '!$A$4:$Q$36,12,)</f>
        <v>26325.712</v>
      </c>
      <c r="G18" s="25">
        <f t="shared" si="4"/>
        <v>93434.672000000006</v>
      </c>
      <c r="H18" s="25">
        <f>VLOOKUP($A$4:$A$30,'[5]Anexo V-Resumo Valor 80% '!$A$4:$Q$36,15,)</f>
        <v>832331.99</v>
      </c>
      <c r="I18" s="25">
        <f>VLOOKUP($A$4:$A$30,'[5]Anexo V-Resumo Valor 80% '!$A$4:$Q$36,17,)</f>
        <v>102491.38</v>
      </c>
      <c r="J18" s="31">
        <f t="shared" si="2"/>
        <v>1965971.0980000002</v>
      </c>
      <c r="K18" s="65">
        <f>J18-VLOOKUP($A$4:$A$30,'[5]Anexo V-Resumo Valor 80% '!$A$4:$S$36,19,)</f>
        <v>0</v>
      </c>
      <c r="L18" s="25">
        <f>VLOOKUP($A$4:$A$30,'[6]Anexo VI.I-Aporte do FA'!$A$4:$C$33,3,)</f>
        <v>36436.63269749692</v>
      </c>
      <c r="M18" s="25"/>
      <c r="N18" s="25"/>
      <c r="P18" s="25">
        <f>VLOOKUP($A$4:$A$30,'[6]Anexo VII- CSC - SERV.'!$A$4:$D$37,4,)</f>
        <v>156284.88</v>
      </c>
      <c r="Q18" s="25">
        <f>VLOOKUP($A$4:$A$30,'[6]Anexo VII- CSC - SERV.'!$A$4:$F$38,6,)-P18</f>
        <v>18644.740937998373</v>
      </c>
      <c r="R18" s="66">
        <f>VLOOKUP($A$4:$A$30,'[6]Anexo VII- CSC - SERV.'!$A$4:$F$38,6,)-(P18+Q18)</f>
        <v>0</v>
      </c>
      <c r="S18" s="25">
        <f>VLOOKUP($A$4:$A$30,'[6]Anexo VII.III- SISCAF'!$A$10:$C$28,3,)</f>
        <v>15265.447867322171</v>
      </c>
      <c r="U18" s="25">
        <f>VLOOKUP($A$4:$A$30,'[6] Anexo VIII-TARIFAS BANCÁRIAS'!$A$3:$D$35,4,)</f>
        <v>8597.2352596519995</v>
      </c>
      <c r="W18" s="29">
        <f>VLOOKUP($A$4:$A$30,'[6]Anexo III- Qde Prof_Empr_RRT'!$A$5:$X$37,3,)</f>
        <v>3134</v>
      </c>
      <c r="X18" s="29">
        <f>VLOOKUP($A$4:$A$30,'[6]Anexo III- Qde Prof_Empr_RRT'!$A$5:$X$37,6,)</f>
        <v>3068</v>
      </c>
      <c r="Y18" s="30">
        <f>VLOOKUP($A$4:$A$30,'[6]Anexo III- Qde Prof_Empr_RRT'!$A$5:$X$37,12,)</f>
        <v>30.019556714471975</v>
      </c>
      <c r="Z18" s="29">
        <f>VLOOKUP($A$4:$A$30,'[6]Anexo III- Qde Prof_Empr_RRT'!$A$5:$X$37,15,)</f>
        <v>273</v>
      </c>
      <c r="AA18" s="30">
        <f>VLOOKUP($A$4:$A$30,'[6]Anexo III- Qde Prof_Empr_RRT'!$A$5:$X$37,21,)</f>
        <v>35.164835164835168</v>
      </c>
      <c r="AB18" s="29">
        <f>VLOOKUP($A$4:$A$30,'[6]Anexo III- Qde Prof_Empr_RRT'!$A$5:$X$37,24,)</f>
        <v>9613</v>
      </c>
      <c r="AD18" s="22">
        <v>0</v>
      </c>
      <c r="AF18" s="22">
        <f>VLOOKUP($A$4:$A$30,'[7]Demonstrativos 2020'!$A$6:$Y$32,25,)</f>
        <v>1288484.52</v>
      </c>
      <c r="AG18" s="22"/>
      <c r="AH18" s="130">
        <v>4059905</v>
      </c>
      <c r="AJ18" s="522" t="s">
        <v>864</v>
      </c>
      <c r="AK18" s="523"/>
      <c r="AR18" s="28"/>
    </row>
    <row r="19" spans="1:44" ht="16.5" thickBot="1">
      <c r="A19" s="32" t="s">
        <v>783</v>
      </c>
      <c r="B19" s="25">
        <f>VLOOKUP($A$4:$A$30,'[5]Anexo V-Resumo Valor 80% '!$A$4:$Q$36,5,)</f>
        <v>1465865.0480000004</v>
      </c>
      <c r="C19" s="25">
        <f>VLOOKUP($A$4:$A$30,'[5]Anexo V-Resumo Valor 80% '!$A$4:$Q$36,6,)</f>
        <v>195462.53600000002</v>
      </c>
      <c r="D19" s="25">
        <f t="shared" si="3"/>
        <v>1661327.5840000005</v>
      </c>
      <c r="E19" s="25">
        <f>VLOOKUP($A$4:$A$30,'[5]Anexo V-Resumo Valor 80% '!$A$4:$Q$36,11,)</f>
        <v>118013.40800000001</v>
      </c>
      <c r="F19" s="25">
        <f>VLOOKUP($A$4:$A$30,'[5]Anexo V-Resumo Valor 80% '!$A$4:$Q$36,12,)</f>
        <v>26716.376000000004</v>
      </c>
      <c r="G19" s="25">
        <f t="shared" si="4"/>
        <v>144729.78400000001</v>
      </c>
      <c r="H19" s="25">
        <f>VLOOKUP($A$4:$A$30,'[5]Anexo V-Resumo Valor 80% '!$A$4:$Q$36,15,)</f>
        <v>1582322.6</v>
      </c>
      <c r="I19" s="25">
        <f>VLOOKUP($A$4:$A$30,'[5]Anexo V-Resumo Valor 80% '!$A$4:$Q$36,17,)</f>
        <v>186360.9</v>
      </c>
      <c r="J19" s="31">
        <f t="shared" si="2"/>
        <v>3574740.8680000007</v>
      </c>
      <c r="K19" s="65">
        <f>J19-VLOOKUP($A$4:$A$30,'[5]Anexo V-Resumo Valor 80% '!$A$4:$S$36,19,)</f>
        <v>0</v>
      </c>
      <c r="L19" s="25">
        <f>VLOOKUP($A$4:$A$30,'[6]Anexo VI.I-Aporte do FA'!$A$4:$C$33,3,)</f>
        <v>65037.65631003493</v>
      </c>
      <c r="M19" s="25"/>
      <c r="N19" s="25"/>
      <c r="P19" s="25">
        <f>VLOOKUP($A$4:$A$30,'[6]Anexo VII- CSC - SERV.'!$A$4:$D$37,4,)</f>
        <v>278961.07</v>
      </c>
      <c r="Q19" s="25">
        <f>VLOOKUP($A$4:$A$30,'[6]Anexo VII- CSC - SERV.'!$A$4:$F$38,6,)-P19</f>
        <v>33917.863196986669</v>
      </c>
      <c r="R19" s="66">
        <f>VLOOKUP($A$4:$A$30,'[6]Anexo VII- CSC - SERV.'!$A$4:$F$38,6,)-(P19+Q19)</f>
        <v>0</v>
      </c>
      <c r="S19" s="25"/>
      <c r="U19" s="25">
        <f>VLOOKUP($A$4:$A$30,'[6] Anexo VIII-TARIFAS BANCÁRIAS'!$A$3:$D$35,4,)</f>
        <v>13702.667599894003</v>
      </c>
      <c r="W19" s="29">
        <f>VLOOKUP($A$4:$A$30,'[6]Anexo III- Qde Prof_Empr_RRT'!$A$5:$X$37,3,)</f>
        <v>5504.8</v>
      </c>
      <c r="X19" s="29">
        <f>VLOOKUP($A$4:$A$30,'[6]Anexo III- Qde Prof_Empr_RRT'!$A$5:$X$37,6,)</f>
        <v>5056.8</v>
      </c>
      <c r="Y19" s="30">
        <f>VLOOKUP($A$4:$A$30,'[6]Anexo III- Qde Prof_Empr_RRT'!$A$5:$X$37,12,)</f>
        <v>22.737699731055216</v>
      </c>
      <c r="Z19" s="29">
        <f>VLOOKUP($A$4:$A$30,'[6]Anexo III- Qde Prof_Empr_RRT'!$A$5:$X$37,15,)</f>
        <v>537</v>
      </c>
      <c r="AA19" s="30">
        <f>VLOOKUP($A$4:$A$30,'[6]Anexo III- Qde Prof_Empr_RRT'!$A$5:$X$37,21,)</f>
        <v>38.175046554934823</v>
      </c>
      <c r="AB19" s="29">
        <f>VLOOKUP($A$4:$A$30,'[6]Anexo III- Qde Prof_Empr_RRT'!$A$5:$X$37,24,)</f>
        <v>18275</v>
      </c>
      <c r="AD19" s="22">
        <v>0</v>
      </c>
      <c r="AF19" s="22">
        <f>VLOOKUP($A$4:$A$30,'[7]Demonstrativos 2020'!$A$6:$Y$32,25,)</f>
        <v>781387.39999999991</v>
      </c>
      <c r="AG19" s="22"/>
      <c r="AH19" s="130">
        <v>9674793</v>
      </c>
      <c r="AJ19" s="95" t="s">
        <v>865</v>
      </c>
      <c r="AK19" s="35">
        <f>VLOOKUP($AK$2,'Diretrizes - Resumo'!$A$4:$AB$30,23,)</f>
        <v>17458</v>
      </c>
      <c r="AR19" s="28"/>
    </row>
    <row r="20" spans="1:44" ht="16.5" thickBot="1">
      <c r="A20" s="32" t="s">
        <v>813</v>
      </c>
      <c r="B20" s="25">
        <f>VLOOKUP($A$4:$A$30,'[5]Anexo V-Resumo Valor 80% '!$A$4:$Q$36,5,)</f>
        <v>441365.21600000001</v>
      </c>
      <c r="C20" s="25">
        <f>VLOOKUP($A$4:$A$30,'[5]Anexo V-Resumo Valor 80% '!$A$4:$Q$36,6,)</f>
        <v>55796.368000000009</v>
      </c>
      <c r="D20" s="25">
        <f t="shared" si="3"/>
        <v>497161.58400000003</v>
      </c>
      <c r="E20" s="25">
        <f>VLOOKUP($A$4:$A$30,'[5]Anexo V-Resumo Valor 80% '!$A$4:$Q$36,11,)</f>
        <v>58238.896000000001</v>
      </c>
      <c r="F20" s="25">
        <f>VLOOKUP($A$4:$A$30,'[5]Anexo V-Resumo Valor 80% '!$A$4:$Q$36,12,)</f>
        <v>10494.816000000001</v>
      </c>
      <c r="G20" s="25">
        <f t="shared" si="4"/>
        <v>68733.712</v>
      </c>
      <c r="H20" s="25">
        <f>VLOOKUP($A$4:$A$30,'[5]Anexo V-Resumo Valor 80% '!$A$4:$Q$36,15,)</f>
        <v>415430.03</v>
      </c>
      <c r="I20" s="25">
        <f>VLOOKUP($A$4:$A$30,'[5]Anexo V-Resumo Valor 80% '!$A$4:$Q$36,17,)</f>
        <v>44159.64</v>
      </c>
      <c r="J20" s="31">
        <f t="shared" si="2"/>
        <v>1025484.966</v>
      </c>
      <c r="K20" s="65">
        <f>J20-VLOOKUP($A$4:$A$30,'[5]Anexo V-Resumo Valor 80% '!$A$4:$S$36,19,)</f>
        <v>0</v>
      </c>
      <c r="L20" s="25">
        <f>VLOOKUP($A$4:$A$30,'[6]Anexo VI.I-Aporte do FA'!$A$4:$C$33,3,)</f>
        <v>18707.909105583629</v>
      </c>
      <c r="M20" s="25">
        <f>VLOOKUP($A$4:$A$30,'[6]Anexo VI-Repasse Fundo de Apoio'!$A$4:$G$16,7,)</f>
        <v>16840</v>
      </c>
      <c r="N20" s="25">
        <f>VLOOKUP($A$4:$A$30,'[6]Anexo VI-Repasse Fundo de Apoio'!$A$4:$H$16,8,)</f>
        <v>323635.37833657151</v>
      </c>
      <c r="P20" s="25">
        <f>VLOOKUP($A$4:$A$30,'[6]Anexo VII- CSC - SERV.'!$A$4:$D$37,4,)</f>
        <v>80242.41</v>
      </c>
      <c r="Q20" s="25">
        <f>VLOOKUP($A$4:$A$30,'[6]Anexo VII- CSC - SERV.'!$A$4:$F$38,6,)-P20</f>
        <v>9280.7303365715197</v>
      </c>
      <c r="R20" s="66">
        <f>VLOOKUP($A$4:$A$30,'[6]Anexo VII- CSC - SERV.'!$A$4:$F$38,6,)-(P20+Q20)</f>
        <v>0</v>
      </c>
      <c r="S20" s="25"/>
      <c r="U20" s="25">
        <f>VLOOKUP($A$4:$A$30,'[6] Anexo VIII-TARIFAS BANCÁRIAS'!$A$3:$D$35,4,)</f>
        <v>3293.3190637360003</v>
      </c>
      <c r="W20" s="29">
        <f>VLOOKUP($A$4:$A$30,'[6]Anexo III- Qde Prof_Empr_RRT'!$A$5:$X$37,3,)</f>
        <v>1641</v>
      </c>
      <c r="X20" s="29">
        <f>VLOOKUP($A$4:$A$30,'[6]Anexo III- Qde Prof_Empr_RRT'!$A$5:$X$37,6,)</f>
        <v>1599</v>
      </c>
      <c r="Y20" s="30">
        <f>VLOOKUP($A$4:$A$30,'[6]Anexo III- Qde Prof_Empr_RRT'!$A$5:$X$37,12,)</f>
        <v>25.203252032520325</v>
      </c>
      <c r="Z20" s="29">
        <f>VLOOKUP($A$4:$A$30,'[6]Anexo III- Qde Prof_Empr_RRT'!$A$5:$X$37,15,)</f>
        <v>275</v>
      </c>
      <c r="AA20" s="30">
        <f>VLOOKUP($A$4:$A$30,'[6]Anexo III- Qde Prof_Empr_RRT'!$A$5:$X$37,21,)</f>
        <v>43.63636363636364</v>
      </c>
      <c r="AB20" s="29">
        <f>VLOOKUP($A$4:$A$30,'[6]Anexo III- Qde Prof_Empr_RRT'!$A$5:$X$37,24,)</f>
        <v>4798</v>
      </c>
      <c r="AD20" s="22">
        <v>0</v>
      </c>
      <c r="AF20" s="22">
        <f>VLOOKUP($A$4:$A$30,'[7]Demonstrativos 2020'!$A$6:$Y$32,25,)</f>
        <v>102180.46</v>
      </c>
      <c r="AG20" s="22"/>
      <c r="AH20" s="130">
        <v>3289290</v>
      </c>
      <c r="AJ20" s="95" t="s">
        <v>866</v>
      </c>
      <c r="AK20" s="35">
        <f>VLOOKUP($AK$2,'Diretrizes - Resumo'!$A$4:$AB$30,24,)</f>
        <v>16749</v>
      </c>
      <c r="AR20" s="28"/>
    </row>
    <row r="21" spans="1:44" ht="16.5" thickBot="1">
      <c r="A21" s="32" t="s">
        <v>814</v>
      </c>
      <c r="B21" s="25">
        <f>VLOOKUP($A$4:$A$30,'[5]Anexo V-Resumo Valor 80% '!$A$4:$Q$36,5,)</f>
        <v>3584729.5519999997</v>
      </c>
      <c r="C21" s="25">
        <f>VLOOKUP($A$4:$A$30,'[5]Anexo V-Resumo Valor 80% '!$A$4:$Q$36,6,)</f>
        <v>483287.37599999999</v>
      </c>
      <c r="D21" s="25">
        <f t="shared" si="3"/>
        <v>4068016.9279999998</v>
      </c>
      <c r="E21" s="25">
        <f>VLOOKUP($A$4:$A$30,'[5]Anexo V-Resumo Valor 80% '!$A$4:$Q$36,11,)</f>
        <v>492594.59999999992</v>
      </c>
      <c r="F21" s="25">
        <f>VLOOKUP($A$4:$A$30,'[5]Anexo V-Resumo Valor 80% '!$A$4:$Q$36,12,)</f>
        <v>130089.73600000002</v>
      </c>
      <c r="G21" s="25">
        <f t="shared" si="4"/>
        <v>622684.33599999989</v>
      </c>
      <c r="H21" s="25">
        <f>VLOOKUP($A$4:$A$30,'[5]Anexo V-Resumo Valor 80% '!$A$4:$Q$36,15,)</f>
        <v>6433970.46</v>
      </c>
      <c r="I21" s="25">
        <f>VLOOKUP($A$4:$A$30,'[5]Anexo V-Resumo Valor 80% '!$A$4:$Q$36,17,)</f>
        <v>444986.87</v>
      </c>
      <c r="J21" s="31">
        <f t="shared" si="2"/>
        <v>11569658.594000001</v>
      </c>
      <c r="K21" s="65">
        <f>J21-VLOOKUP($A$4:$A$30,'[5]Anexo V-Resumo Valor 80% '!$A$4:$S$36,19,)</f>
        <v>0</v>
      </c>
      <c r="L21" s="25">
        <f>VLOOKUP($A$4:$A$30,'[6]Anexo VI.I-Aporte do FA'!$A$4:$C$33,3,)</f>
        <v>211768.97709494023</v>
      </c>
      <c r="M21" s="25"/>
      <c r="N21" s="25"/>
      <c r="P21" s="25">
        <f>VLOOKUP($A$4:$A$30,'[6]Anexo VII- CSC - SERV.'!$A$4:$D$37,4,)</f>
        <v>908324.56</v>
      </c>
      <c r="Q21" s="25">
        <f>VLOOKUP($A$4:$A$30,'[6]Anexo VII- CSC - SERV.'!$A$4:$F$38,6,)-P21</f>
        <v>109891.24211973045</v>
      </c>
      <c r="R21" s="66">
        <f>VLOOKUP($A$4:$A$30,'[6]Anexo VII- CSC - SERV.'!$A$4:$F$38,6,)-(P21+Q21)</f>
        <v>0</v>
      </c>
      <c r="S21" s="25"/>
      <c r="U21" s="25">
        <f>VLOOKUP($A$4:$A$30,'[6] Anexo VIII-TARIFAS BANCÁRIAS'!$A$3:$D$35,4,)</f>
        <v>55576.003279602017</v>
      </c>
      <c r="W21" s="29">
        <f>VLOOKUP($A$4:$A$30,'[6]Anexo III- Qde Prof_Empr_RRT'!$A$5:$X$37,3,)</f>
        <v>14181</v>
      </c>
      <c r="X21" s="29">
        <f>VLOOKUP($A$4:$A$30,'[6]Anexo III- Qde Prof_Empr_RRT'!$A$5:$X$37,6,)</f>
        <v>13769</v>
      </c>
      <c r="Y21" s="30">
        <f>VLOOKUP($A$4:$A$30,'[6]Anexo III- Qde Prof_Empr_RRT'!$A$5:$X$37,12,)</f>
        <v>30.626770281066158</v>
      </c>
      <c r="Z21" s="29">
        <f>VLOOKUP($A$4:$A$30,'[6]Anexo III- Qde Prof_Empr_RRT'!$A$5:$X$37,15,)</f>
        <v>2791</v>
      </c>
      <c r="AA21" s="30">
        <f>VLOOKUP($A$4:$A$30,'[6]Anexo III- Qde Prof_Empr_RRT'!$A$5:$X$37,21,)</f>
        <v>53.31422429236833</v>
      </c>
      <c r="AB21" s="29">
        <f>VLOOKUP($A$4:$A$30,'[6]Anexo III- Qde Prof_Empr_RRT'!$A$5:$X$37,24,)</f>
        <v>74309</v>
      </c>
      <c r="AD21" s="22">
        <v>0</v>
      </c>
      <c r="AF21" s="22">
        <f>VLOOKUP($A$4:$A$30,'[7]Demonstrativos 2020'!$A$6:$Y$32,25,)</f>
        <v>13878149.049999999</v>
      </c>
      <c r="AG21" s="22"/>
      <c r="AH21" s="130">
        <v>11597484</v>
      </c>
      <c r="AJ21" s="94" t="s">
        <v>867</v>
      </c>
      <c r="AK21" s="39">
        <f>VLOOKUP($AK$2,'Diretrizes - Resumo'!$A$4:$AB$30,25,)</f>
        <v>24.67610006567557</v>
      </c>
      <c r="AR21" s="28"/>
    </row>
    <row r="22" spans="1:44" ht="16.5" thickBot="1">
      <c r="A22" s="32" t="s">
        <v>816</v>
      </c>
      <c r="B22" s="25">
        <f>VLOOKUP($A$4:$A$30,'[5]Anexo V-Resumo Valor 80% '!$A$4:$Q$36,5,)</f>
        <v>4637544.568</v>
      </c>
      <c r="C22" s="25">
        <f>VLOOKUP($A$4:$A$30,'[5]Anexo V-Resumo Valor 80% '!$A$4:$Q$36,6,)</f>
        <v>1377724.6320000002</v>
      </c>
      <c r="D22" s="25">
        <f t="shared" si="3"/>
        <v>6015269.2000000002</v>
      </c>
      <c r="E22" s="25">
        <f>VLOOKUP($A$4:$A$30,'[5]Anexo V-Resumo Valor 80% '!$A$4:$Q$36,11,)</f>
        <v>613813.02400000009</v>
      </c>
      <c r="F22" s="25">
        <f>VLOOKUP($A$4:$A$30,'[5]Anexo V-Resumo Valor 80% '!$A$4:$Q$36,12,)</f>
        <v>307902.50400000002</v>
      </c>
      <c r="G22" s="25">
        <f t="shared" si="4"/>
        <v>921715.52800000017</v>
      </c>
      <c r="H22" s="25">
        <f>VLOOKUP($A$4:$A$30,'[5]Anexo V-Resumo Valor 80% '!$A$4:$Q$36,15,)</f>
        <v>5158328.38</v>
      </c>
      <c r="I22" s="25">
        <f>VLOOKUP($A$4:$A$30,'[5]Anexo V-Resumo Valor 80% '!$A$4:$Q$36,17,)</f>
        <v>665242.22</v>
      </c>
      <c r="J22" s="31">
        <f t="shared" si="2"/>
        <v>12760555.328</v>
      </c>
      <c r="K22" s="65">
        <f>J22-VLOOKUP($A$4:$A$30,'[5]Anexo V-Resumo Valor 80% '!$A$4:$S$36,19,)</f>
        <v>0</v>
      </c>
      <c r="L22" s="25">
        <f>VLOOKUP($A$4:$A$30,'[6]Anexo VI.I-Aporte do FA'!$A$4:$C$33,3,)</f>
        <v>225894.11830159381</v>
      </c>
      <c r="M22" s="25"/>
      <c r="N22" s="25"/>
      <c r="P22" s="25">
        <f>VLOOKUP($A$4:$A$30,'[6]Anexo VII- CSC - SERV.'!$A$4:$D$37,4,)</f>
        <v>968910.45</v>
      </c>
      <c r="Q22" s="25">
        <f>VLOOKUP($A$4:$A$30,'[6]Anexo VII- CSC - SERV.'!$A$4:$F$38,6,)-P22</f>
        <v>127374.78823620477</v>
      </c>
      <c r="R22" s="66">
        <f>VLOOKUP($A$4:$A$30,'[6]Anexo VII- CSC - SERV.'!$A$4:$F$38,6,)-(P22+Q22)</f>
        <v>0</v>
      </c>
      <c r="S22" s="25">
        <f>VLOOKUP($A$4:$A$30,'[6]Anexo VII.III- SISCAF'!$A$10:$C$28,3,)</f>
        <v>157897.52974945167</v>
      </c>
      <c r="U22" s="25">
        <f>VLOOKUP($A$4:$A$30,'[6] Anexo VIII-TARIFAS BANCÁRIAS'!$A$3:$D$35,4,)</f>
        <v>38847.512405962007</v>
      </c>
      <c r="W22" s="29">
        <f>VLOOKUP($A$4:$A$30,'[6]Anexo III- Qde Prof_Empr_RRT'!$A$5:$X$37,3,)</f>
        <v>21599.333333333332</v>
      </c>
      <c r="X22" s="29">
        <f>VLOOKUP($A$4:$A$30,'[6]Anexo III- Qde Prof_Empr_RRT'!$A$5:$X$37,6,)</f>
        <v>18095.333333333332</v>
      </c>
      <c r="Y22" s="30">
        <f>VLOOKUP($A$4:$A$30,'[6]Anexo III- Qde Prof_Empr_RRT'!$A$5:$X$37,12,)</f>
        <v>27.810116788858991</v>
      </c>
      <c r="Z22" s="29">
        <f>VLOOKUP($A$4:$A$30,'[6]Anexo III- Qde Prof_Empr_RRT'!$A$5:$X$37,15,)</f>
        <v>2932</v>
      </c>
      <c r="AA22" s="30">
        <f>VLOOKUP($A$4:$A$30,'[6]Anexo III- Qde Prof_Empr_RRT'!$A$5:$X$37,21,)</f>
        <v>44.611186903137792</v>
      </c>
      <c r="AB22" s="29">
        <f>VLOOKUP($A$4:$A$30,'[6]Anexo III- Qde Prof_Empr_RRT'!$A$5:$X$37,24,)</f>
        <v>59576</v>
      </c>
      <c r="AD22" s="22">
        <v>0</v>
      </c>
      <c r="AF22" s="22">
        <v>5939954.9100000001</v>
      </c>
      <c r="AG22" s="22"/>
      <c r="AH22" s="130">
        <v>17463349</v>
      </c>
      <c r="AJ22" s="36" t="s">
        <v>868</v>
      </c>
      <c r="AK22" s="35">
        <f>VLOOKUP($AK$2,'Diretrizes - Resumo'!$A$4:$AB$30,26,)</f>
        <v>1892</v>
      </c>
      <c r="AR22" s="28"/>
    </row>
    <row r="23" spans="1:44" ht="16.5" thickBot="1">
      <c r="A23" s="32" t="s">
        <v>817</v>
      </c>
      <c r="B23" s="25">
        <f>VLOOKUP($A$4:$A$30,'[5]Anexo V-Resumo Valor 80% '!$A$4:$Q$36,5,)</f>
        <v>713019</v>
      </c>
      <c r="C23" s="25">
        <f>VLOOKUP($A$4:$A$30,'[5]Anexo V-Resumo Valor 80% '!$A$4:$Q$36,6,)</f>
        <v>157137.48799999998</v>
      </c>
      <c r="D23" s="25">
        <f t="shared" si="3"/>
        <v>870156.48800000001</v>
      </c>
      <c r="E23" s="25">
        <f>VLOOKUP($A$4:$A$30,'[5]Anexo V-Resumo Valor 80% '!$A$4:$Q$36,11,)</f>
        <v>52927.455999999998</v>
      </c>
      <c r="F23" s="25">
        <f>VLOOKUP($A$4:$A$30,'[5]Anexo V-Resumo Valor 80% '!$A$4:$Q$36,12,)</f>
        <v>39673.744000000006</v>
      </c>
      <c r="G23" s="25">
        <f t="shared" si="4"/>
        <v>92601.200000000012</v>
      </c>
      <c r="H23" s="25">
        <f>VLOOKUP($A$4:$A$30,'[5]Anexo V-Resumo Valor 80% '!$A$4:$Q$36,15,)</f>
        <v>877269.09</v>
      </c>
      <c r="I23" s="25">
        <f>VLOOKUP($A$4:$A$30,'[5]Anexo V-Resumo Valor 80% '!$A$4:$Q$36,17,)</f>
        <v>81554.3</v>
      </c>
      <c r="J23" s="31">
        <f t="shared" si="2"/>
        <v>1921581.0780000002</v>
      </c>
      <c r="K23" s="65">
        <f>J23-VLOOKUP($A$4:$A$30,'[5]Anexo V-Resumo Valor 80% '!$A$4:$S$36,19,)</f>
        <v>0</v>
      </c>
      <c r="L23" s="25">
        <f>VLOOKUP($A$4:$A$30,'[6]Anexo VI.I-Aporte do FA'!$A$4:$C$33,3,)</f>
        <v>35226.751940680093</v>
      </c>
      <c r="M23" s="25"/>
      <c r="N23" s="25"/>
      <c r="P23" s="25">
        <f>VLOOKUP($A$4:$A$30,'[6]Anexo VII- CSC - SERV.'!$A$4:$D$37,4,)</f>
        <v>151095.43</v>
      </c>
      <c r="Q23" s="25">
        <f>VLOOKUP($A$4:$A$30,'[6]Anexo VII- CSC - SERV.'!$A$4:$F$38,6,)-P23</f>
        <v>18135.485503182223</v>
      </c>
      <c r="R23" s="66">
        <f>VLOOKUP($A$4:$A$30,'[6]Anexo VII- CSC - SERV.'!$A$4:$F$38,6,)-(P23+Q23)</f>
        <v>0</v>
      </c>
      <c r="S23" s="25"/>
      <c r="U23" s="25">
        <f>VLOOKUP($A$4:$A$30,'[6] Anexo VIII-TARIFAS BANCÁRIAS'!$A$3:$D$35,4,)</f>
        <v>7447.4280785060009</v>
      </c>
      <c r="W23" s="29">
        <f>VLOOKUP($A$4:$A$30,'[6]Anexo III- Qde Prof_Empr_RRT'!$A$5:$X$37,3,)</f>
        <v>2816</v>
      </c>
      <c r="X23" s="29">
        <f>VLOOKUP($A$4:$A$30,'[6]Anexo III- Qde Prof_Empr_RRT'!$A$5:$X$37,6,)</f>
        <v>2736</v>
      </c>
      <c r="Y23" s="30">
        <f>VLOOKUP($A$4:$A$30,'[6]Anexo III- Qde Prof_Empr_RRT'!$A$5:$X$37,12,)</f>
        <v>30.701754385964904</v>
      </c>
      <c r="Z23" s="29">
        <f>VLOOKUP($A$4:$A$30,'[6]Anexo III- Qde Prof_Empr_RRT'!$A$5:$X$37,15,)</f>
        <v>316</v>
      </c>
      <c r="AA23" s="30">
        <f>VLOOKUP($A$4:$A$30,'[6]Anexo III- Qde Prof_Empr_RRT'!$A$5:$X$37,21,)</f>
        <v>55.696202531645575</v>
      </c>
      <c r="AB23" s="29">
        <f>VLOOKUP($A$4:$A$30,'[6]Anexo III- Qde Prof_Empr_RRT'!$A$5:$X$37,24,)</f>
        <v>10132</v>
      </c>
      <c r="AD23" s="22">
        <v>0</v>
      </c>
      <c r="AF23" s="22">
        <f>VLOOKUP($A$4:$A$30,'[7]Demonstrativos 2020'!$A$6:$Y$32,25,)</f>
        <v>1125992.78</v>
      </c>
      <c r="AG23" s="22"/>
      <c r="AH23" s="130">
        <v>3560903</v>
      </c>
      <c r="AJ23" s="36" t="s">
        <v>869</v>
      </c>
      <c r="AK23" s="39">
        <f>VLOOKUP($AK$2,'Diretrizes - Resumo'!$A$4:$AB$30,27,)</f>
        <v>39.746300211416482</v>
      </c>
      <c r="AR23" s="28"/>
    </row>
    <row r="24" spans="1:44" ht="16.5" thickBot="1">
      <c r="A24" s="32" t="s">
        <v>818</v>
      </c>
      <c r="B24" s="25">
        <f>VLOOKUP($A$4:$A$30,'[5]Anexo V-Resumo Valor 80% '!$A$4:$Q$36,5,)</f>
        <v>376617.67199999996</v>
      </c>
      <c r="C24" s="25">
        <f>VLOOKUP($A$4:$A$30,'[5]Anexo V-Resumo Valor 80% '!$A$4:$Q$36,6,)</f>
        <v>50792.112000000001</v>
      </c>
      <c r="D24" s="25">
        <f t="shared" si="3"/>
        <v>427409.78399999999</v>
      </c>
      <c r="E24" s="25">
        <f>VLOOKUP($A$4:$A$30,'[5]Anexo V-Resumo Valor 80% '!$A$4:$Q$36,11,)</f>
        <v>41183.200000000004</v>
      </c>
      <c r="F24" s="25">
        <f>VLOOKUP($A$4:$A$30,'[5]Anexo V-Resumo Valor 80% '!$A$4:$Q$36,12,)</f>
        <v>14584.256000000001</v>
      </c>
      <c r="G24" s="25">
        <f t="shared" si="4"/>
        <v>55767.456000000006</v>
      </c>
      <c r="H24" s="25">
        <f>VLOOKUP($A$4:$A$30,'[5]Anexo V-Resumo Valor 80% '!$A$4:$Q$36,15,)</f>
        <v>953030.09</v>
      </c>
      <c r="I24" s="25">
        <f>VLOOKUP($A$4:$A$30,'[5]Anexo V-Resumo Valor 80% '!$A$4:$Q$36,17,)</f>
        <v>64629.33</v>
      </c>
      <c r="J24" s="31">
        <f t="shared" si="2"/>
        <v>1500836.66</v>
      </c>
      <c r="K24" s="65">
        <f>J24-VLOOKUP($A$4:$A$30,'[5]Anexo V-Resumo Valor 80% '!$A$4:$S$36,19,)</f>
        <v>0</v>
      </c>
      <c r="L24" s="25">
        <f>VLOOKUP($A$4:$A$30,'[6]Anexo VI.I-Aporte do FA'!$A$4:$C$33,3,)</f>
        <v>27471.485518262714</v>
      </c>
      <c r="M24" s="25"/>
      <c r="N24" s="25"/>
      <c r="P24" s="25">
        <f>VLOOKUP($A$4:$A$30,'[6]Anexo VII- CSC - SERV.'!$A$4:$D$37,4,)</f>
        <v>117831.35</v>
      </c>
      <c r="Q24" s="25">
        <f>VLOOKUP($A$4:$A$30,'[6]Anexo VII- CSC - SERV.'!$A$4:$F$38,6,)-P24</f>
        <v>13899.250191988889</v>
      </c>
      <c r="R24" s="66">
        <f>VLOOKUP($A$4:$A$30,'[6]Anexo VII- CSC - SERV.'!$A$4:$F$38,6,)-(P24+Q24)</f>
        <v>0</v>
      </c>
      <c r="S24" s="25"/>
      <c r="U24" s="25">
        <f>'[6] Anexo VIII-TARIFAS BANCÁRIAS'!$D$7</f>
        <v>5793.1311791340013</v>
      </c>
      <c r="W24" s="29">
        <f>VLOOKUP($A$4:$A$30,'[6]Anexo III- Qde Prof_Empr_RRT'!$A$5:$X$37,3,)</f>
        <v>1461.8</v>
      </c>
      <c r="X24" s="29">
        <f>VLOOKUP($A$4:$A$30,'[6]Anexo III- Qde Prof_Empr_RRT'!$A$5:$X$37,6,)</f>
        <v>1442.8</v>
      </c>
      <c r="Y24" s="30">
        <f>VLOOKUP($A$4:$A$30,'[6]Anexo III- Qde Prof_Empr_RRT'!$A$5:$X$37,12,)</f>
        <v>28.611034100360413</v>
      </c>
      <c r="Z24" s="29">
        <f>VLOOKUP($A$4:$A$30,'[6]Anexo III- Qde Prof_Empr_RRT'!$A$5:$X$37,15,)</f>
        <v>241</v>
      </c>
      <c r="AA24" s="30">
        <f>VLOOKUP($A$4:$A$30,'[6]Anexo III- Qde Prof_Empr_RRT'!$A$5:$X$37,21,)</f>
        <v>54.771784232365142</v>
      </c>
      <c r="AB24" s="29">
        <f>VLOOKUP($A$4:$A$30,'[6]Anexo III- Qde Prof_Empr_RRT'!$A$5:$X$37,24,)</f>
        <v>11007</v>
      </c>
      <c r="AD24" s="22">
        <v>0</v>
      </c>
      <c r="AF24" s="22">
        <f>VLOOKUP($A$4:$A$30,'[7]Demonstrativos 2020'!$A$6:$Y$32,25,)</f>
        <v>1207427.8900000001</v>
      </c>
      <c r="AG24" s="22"/>
      <c r="AH24" s="130">
        <v>1815278</v>
      </c>
      <c r="AJ24" s="94" t="s">
        <v>870</v>
      </c>
      <c r="AK24" s="35">
        <f>VLOOKUP($AK$2,'Diretrizes - Resumo'!$A$4:$AB$30,28,)</f>
        <v>56998</v>
      </c>
      <c r="AR24" s="28"/>
    </row>
    <row r="25" spans="1:44" ht="16.5" thickBot="1">
      <c r="A25" s="32" t="s">
        <v>819</v>
      </c>
      <c r="B25" s="25">
        <f>VLOOKUP($A$4:$A$30,'[5]Anexo V-Resumo Valor 80% '!$A$4:$Q$36,5,)</f>
        <v>58052.096000000012</v>
      </c>
      <c r="C25" s="25">
        <f>VLOOKUP($A$4:$A$30,'[5]Anexo V-Resumo Valor 80% '!$A$4:$Q$36,6,)</f>
        <v>10597.968000000001</v>
      </c>
      <c r="D25" s="25">
        <f t="shared" si="3"/>
        <v>68650.064000000013</v>
      </c>
      <c r="E25" s="25">
        <f>VLOOKUP($A$4:$A$30,'[5]Anexo V-Resumo Valor 80% '!$A$4:$Q$36,11,)</f>
        <v>8061.8640000000014</v>
      </c>
      <c r="F25" s="25">
        <f>VLOOKUP($A$4:$A$30,'[5]Anexo V-Resumo Valor 80% '!$A$4:$Q$36,12,)</f>
        <v>4434.5600000000004</v>
      </c>
      <c r="G25" s="25">
        <f t="shared" si="4"/>
        <v>12496.424000000003</v>
      </c>
      <c r="H25" s="25">
        <f>VLOOKUP($A$4:$A$30,'[5]Anexo V-Resumo Valor 80% '!$A$4:$Q$36,15,)</f>
        <v>109875.1</v>
      </c>
      <c r="I25" s="25">
        <f>VLOOKUP($A$4:$A$30,'[5]Anexo V-Resumo Valor 80% '!$A$4:$Q$36,17,)</f>
        <v>7640.86</v>
      </c>
      <c r="J25" s="31">
        <f t="shared" si="2"/>
        <v>198662.44800000003</v>
      </c>
      <c r="K25" s="65">
        <f>J25-VLOOKUP($A$4:$A$30,'[5]Anexo V-Resumo Valor 80% '!$A$4:$S$36,19,)</f>
        <v>0</v>
      </c>
      <c r="L25" s="25">
        <f>VLOOKUP($A$4:$A$30,'[6]Anexo VI.I-Aporte do FA'!$A$4:$C$33,3,)</f>
        <v>3667.0231318440547</v>
      </c>
      <c r="M25" s="25">
        <f>VLOOKUP($A$4:$A$30,'[6]Anexo VI-Repasse Fundo de Apoio'!$A$4:$G$16,7,)</f>
        <v>17640</v>
      </c>
      <c r="N25" s="25">
        <f>VLOOKUP($A$4:$A$30,'[6]Anexo VI-Repasse Fundo de Apoio'!$A$4:$H$16,8,)</f>
        <v>1027072.3434838187</v>
      </c>
      <c r="P25" s="25">
        <f>VLOOKUP($A$4:$A$30,'[6]Anexo VII- CSC - SERV.'!$A$4:$D$37,4,)</f>
        <v>15728.68</v>
      </c>
      <c r="Q25" s="25">
        <f>VLOOKUP($A$4:$A$30,'[6]Anexo VII- CSC - SERV.'!$A$4:$F$38,6,)-P25</f>
        <v>1935.0334838186973</v>
      </c>
      <c r="R25" s="66">
        <f>VLOOKUP($A$4:$A$30,'[6]Anexo VII- CSC - SERV.'!$A$4:$F$38,6,)-(P25+Q25)</f>
        <v>0</v>
      </c>
      <c r="S25" s="25"/>
      <c r="U25" s="25">
        <f>VLOOKUP($A$4:$A$30,'[6] Anexo VIII-TARIFAS BANCÁRIAS'!$A$3:$D$35,4,)</f>
        <v>735.73557525000024</v>
      </c>
      <c r="W25" s="29">
        <f>VLOOKUP($A$4:$A$30,'[6]Anexo III- Qde Prof_Empr_RRT'!$A$5:$X$37,3,)</f>
        <v>250</v>
      </c>
      <c r="X25" s="29">
        <f>VLOOKUP($A$4:$A$30,'[6]Anexo III- Qde Prof_Empr_RRT'!$A$5:$X$37,6,)</f>
        <v>241</v>
      </c>
      <c r="Y25" s="30">
        <f>VLOOKUP($A$4:$A$30,'[6]Anexo III- Qde Prof_Empr_RRT'!$A$5:$X$37,12,)</f>
        <v>35.269709543568467</v>
      </c>
      <c r="Z25" s="29">
        <f>VLOOKUP($A$4:$A$30,'[6]Anexo III- Qde Prof_Empr_RRT'!$A$5:$X$37,15,)</f>
        <v>64</v>
      </c>
      <c r="AA25" s="30">
        <f>VLOOKUP($A$4:$A$30,'[6]Anexo III- Qde Prof_Empr_RRT'!$A$5:$X$37,21,)</f>
        <v>65.625</v>
      </c>
      <c r="AB25" s="29">
        <f>VLOOKUP($A$4:$A$30,'[6]Anexo III- Qde Prof_Empr_RRT'!$A$5:$X$37,24,)</f>
        <v>1269</v>
      </c>
      <c r="AD25" s="22">
        <v>0</v>
      </c>
      <c r="AF25" s="22">
        <f>VLOOKUP($A$4:$A$30,'[7]Demonstrativos 2020'!$A$6:$Y$32,25,)</f>
        <v>245329.86999999997</v>
      </c>
      <c r="AG25" s="22"/>
      <c r="AH25" s="130">
        <v>652713</v>
      </c>
      <c r="AR25" s="28"/>
    </row>
    <row r="26" spans="1:44" ht="16.5" thickBot="1">
      <c r="A26" s="32" t="s">
        <v>820</v>
      </c>
      <c r="B26" s="25">
        <f>VLOOKUP($A$4:$A$30,'[5]Anexo V-Resumo Valor 80% '!$A$4:$Q$36,5,)</f>
        <v>4734720.0959999999</v>
      </c>
      <c r="C26" s="25">
        <f>VLOOKUP($A$4:$A$30,'[5]Anexo V-Resumo Valor 80% '!$A$4:$Q$36,6,)</f>
        <v>674682.09600000002</v>
      </c>
      <c r="D26" s="25">
        <f t="shared" si="3"/>
        <v>5409402.1919999998</v>
      </c>
      <c r="E26" s="25">
        <f>VLOOKUP($A$4:$A$30,'[5]Anexo V-Resumo Valor 80% '!$A$4:$Q$36,11,)</f>
        <v>608680.91200000001</v>
      </c>
      <c r="F26" s="25">
        <f>VLOOKUP($A$4:$A$30,'[5]Anexo V-Resumo Valor 80% '!$A$4:$Q$36,12,)</f>
        <v>201265.52800000002</v>
      </c>
      <c r="G26" s="25">
        <f t="shared" si="4"/>
        <v>809946.44000000006</v>
      </c>
      <c r="H26" s="25">
        <f>VLOOKUP($A$4:$A$30,'[5]Anexo V-Resumo Valor 80% '!$A$4:$Q$36,15,)</f>
        <v>8176300.29</v>
      </c>
      <c r="I26" s="25">
        <f>VLOOKUP($A$4:$A$30,'[5]Anexo V-Resumo Valor 80% '!$A$4:$Q$36,17,)</f>
        <v>575825.96</v>
      </c>
      <c r="J26" s="31">
        <f t="shared" si="2"/>
        <v>14971474.881999999</v>
      </c>
      <c r="K26" s="65">
        <f>J26-VLOOKUP($A$4:$A$30,'[5]Anexo V-Resumo Valor 80% '!$A$4:$S$36,19,)</f>
        <v>0</v>
      </c>
      <c r="L26" s="25">
        <f>VLOOKUP($A$4:$A$30,'[6]Anexo VI.I-Aporte do FA'!$A$4:$C$33,3,)</f>
        <v>274444.30773230823</v>
      </c>
      <c r="M26" s="25"/>
      <c r="N26" s="25"/>
      <c r="P26" s="25">
        <f>VLOOKUP($A$4:$A$30,'[6]Anexo VII- CSC - SERV.'!$A$4:$D$37,4,)</f>
        <v>1177153.08</v>
      </c>
      <c r="Q26" s="25">
        <f>VLOOKUP($A$4:$A$30,'[6]Anexo VII- CSC - SERV.'!$A$4:$F$38,6,)-P26</f>
        <v>140403.8422811334</v>
      </c>
      <c r="R26" s="66">
        <f>VLOOKUP($A$4:$A$30,'[6]Anexo VII- CSC - SERV.'!$A$4:$F$38,6,)-(P26+Q26)</f>
        <v>0</v>
      </c>
      <c r="S26" s="25"/>
      <c r="U26" s="25">
        <f>VLOOKUP($A$4:$A$30,'[6] Anexo VIII-TARIFAS BANCÁRIAS'!$A$3:$D$35,4,)</f>
        <v>66194.068942066035</v>
      </c>
      <c r="W26" s="29">
        <f>VLOOKUP($A$4:$A$30,'[6]Anexo III- Qde Prof_Empr_RRT'!$A$5:$X$37,3,)</f>
        <v>18041</v>
      </c>
      <c r="X26" s="29">
        <f>VLOOKUP($A$4:$A$30,'[6]Anexo III- Qde Prof_Empr_RRT'!$A$5:$X$37,6,)</f>
        <v>16889</v>
      </c>
      <c r="Y26" s="30">
        <f>VLOOKUP($A$4:$A$30,'[6]Anexo III- Qde Prof_Empr_RRT'!$A$5:$X$37,12,)</f>
        <v>24.400497365148908</v>
      </c>
      <c r="Z26" s="29">
        <f>VLOOKUP($A$4:$A$30,'[6]Anexo III- Qde Prof_Empr_RRT'!$A$5:$X$37,15,)</f>
        <v>2927</v>
      </c>
      <c r="AA26" s="30">
        <f>VLOOKUP($A$4:$A$30,'[6]Anexo III- Qde Prof_Empr_RRT'!$A$5:$X$37,21,)</f>
        <v>44.994875298940897</v>
      </c>
      <c r="AB26" s="29">
        <f>VLOOKUP($A$4:$A$30,'[6]Anexo III- Qde Prof_Empr_RRT'!$A$5:$X$37,24,)</f>
        <v>94432</v>
      </c>
      <c r="AD26" s="22">
        <v>0</v>
      </c>
      <c r="AF26" s="22">
        <f>VLOOKUP($A$4:$A$30,'[7]Demonstrativos 2020'!$A$6:$Y$32,25,)</f>
        <v>18607318.912999999</v>
      </c>
      <c r="AG26" s="22"/>
      <c r="AH26" s="130">
        <v>11466630</v>
      </c>
      <c r="AJ26" s="522" t="s">
        <v>871</v>
      </c>
      <c r="AK26" s="523"/>
      <c r="AR26" s="28"/>
    </row>
    <row r="27" spans="1:44" ht="16.5" thickBot="1">
      <c r="A27" s="32" t="s">
        <v>821</v>
      </c>
      <c r="B27" s="25">
        <f>VLOOKUP($A$4:$A$30,'[5]Anexo V-Resumo Valor 80% '!$A$4:$Q$36,5,)</f>
        <v>3476552.3760000002</v>
      </c>
      <c r="C27" s="25">
        <f>VLOOKUP($A$4:$A$30,'[5]Anexo V-Resumo Valor 80% '!$A$4:$Q$36,6,)</f>
        <v>455971.64800000004</v>
      </c>
      <c r="D27" s="25">
        <f t="shared" si="3"/>
        <v>3932524.0240000002</v>
      </c>
      <c r="E27" s="25">
        <f>VLOOKUP($A$4:$A$30,'[5]Anexo V-Resumo Valor 80% '!$A$4:$Q$36,11,)</f>
        <v>386045.13599999994</v>
      </c>
      <c r="F27" s="25">
        <f>VLOOKUP($A$4:$A$30,'[5]Anexo V-Resumo Valor 80% '!$A$4:$Q$36,12,)</f>
        <v>92983.784</v>
      </c>
      <c r="G27" s="25">
        <f t="shared" si="4"/>
        <v>479028.91999999993</v>
      </c>
      <c r="H27" s="25">
        <f>VLOOKUP($A$4:$A$30,'[5]Anexo V-Resumo Valor 80% '!$A$4:$Q$36,15,)</f>
        <v>5290282.4000000004</v>
      </c>
      <c r="I27" s="25">
        <f>VLOOKUP($A$4:$A$30,'[5]Anexo V-Resumo Valor 80% '!$A$4:$Q$36,17,)</f>
        <v>291055.06</v>
      </c>
      <c r="J27" s="31">
        <f t="shared" si="2"/>
        <v>9992890.4039999992</v>
      </c>
      <c r="K27" s="65">
        <f>J27-VLOOKUP($A$4:$A$30,'[5]Anexo V-Resumo Valor 80% '!$A$4:$S$36,19,)</f>
        <v>0</v>
      </c>
      <c r="L27" s="25">
        <f>VLOOKUP($A$4:$A$30,'[6]Anexo VI.I-Aporte do FA'!$A$4:$C$33,3,)</f>
        <v>182436.80267111809</v>
      </c>
      <c r="M27" s="25"/>
      <c r="N27" s="25"/>
      <c r="P27" s="25">
        <f>VLOOKUP($A$4:$A$30,'[6]Anexo VII- CSC - SERV.'!$A$4:$D$37,4,)</f>
        <v>782512.29</v>
      </c>
      <c r="Q27" s="25">
        <f>VLOOKUP($A$4:$A$30,'[6]Anexo VII- CSC - SERV.'!$A$4:$F$38,6,)-P27</f>
        <v>93809.697409305722</v>
      </c>
      <c r="R27" s="66">
        <f>VLOOKUP($A$4:$A$30,'[6]Anexo VII- CSC - SERV.'!$A$4:$F$38,6,)-(P27+Q27)</f>
        <v>0</v>
      </c>
      <c r="S27" s="25"/>
      <c r="U27" s="25">
        <f>VLOOKUP($A$4:$A$30,'[6] Anexo VIII-TARIFAS BANCÁRIAS'!$A$3:$D$35,4,)</f>
        <v>41160.619951984001</v>
      </c>
      <c r="W27" s="29">
        <f>VLOOKUP($A$4:$A$30,'[6]Anexo III- Qde Prof_Empr_RRT'!$A$5:$X$37,3,)</f>
        <v>11914</v>
      </c>
      <c r="X27" s="29">
        <f>VLOOKUP($A$4:$A$30,'[6]Anexo III- Qde Prof_Empr_RRT'!$A$5:$X$37,6,)</f>
        <v>11626</v>
      </c>
      <c r="Y27" s="30">
        <f>VLOOKUP($A$4:$A$30,'[6]Anexo III- Qde Prof_Empr_RRT'!$A$5:$X$37,12,)</f>
        <v>21.546533631515558</v>
      </c>
      <c r="Z27" s="29">
        <f>VLOOKUP($A$4:$A$30,'[6]Anexo III- Qde Prof_Empr_RRT'!$A$5:$X$37,15,)</f>
        <v>1905</v>
      </c>
      <c r="AA27" s="30">
        <f>VLOOKUP($A$4:$A$30,'[6]Anexo III- Qde Prof_Empr_RRT'!$A$5:$X$37,21,)</f>
        <v>46.351706036745412</v>
      </c>
      <c r="AB27" s="29">
        <f>VLOOKUP($A$4:$A$30,'[6]Anexo III- Qde Prof_Empr_RRT'!$A$5:$X$37,24,)</f>
        <v>61100</v>
      </c>
      <c r="AD27" s="22">
        <v>0</v>
      </c>
      <c r="AF27" s="22">
        <f>VLOOKUP($A$4:$A$30,'[7]Demonstrativos 2020'!$A$6:$Y$32,25,)</f>
        <v>8692538.4800000004</v>
      </c>
      <c r="AG27" s="22"/>
      <c r="AH27" s="130">
        <v>7338473</v>
      </c>
      <c r="AJ27" s="43" t="s">
        <v>872</v>
      </c>
      <c r="AK27" s="35">
        <f>VLOOKUP($AK$2,A4:AH30,34,)</f>
        <v>21411923</v>
      </c>
      <c r="AR27" s="28"/>
    </row>
    <row r="28" spans="1:44" s="33" customFormat="1" ht="16.5" thickBot="1">
      <c r="A28" s="32" t="s">
        <v>822</v>
      </c>
      <c r="B28" s="25">
        <f>VLOOKUP($A$4:$A$30,'[5]Anexo V-Resumo Valor 80% '!$A$4:$Q$36,5,)</f>
        <v>435012.92799999996</v>
      </c>
      <c r="C28" s="25">
        <f>VLOOKUP($A$4:$A$30,'[5]Anexo V-Resumo Valor 80% '!$A$4:$Q$36,6,)</f>
        <v>67014.960000000006</v>
      </c>
      <c r="D28" s="25">
        <f t="shared" si="3"/>
        <v>502027.88799999998</v>
      </c>
      <c r="E28" s="25">
        <f>VLOOKUP($A$4:$A$30,'[5]Anexo V-Resumo Valor 80% '!$A$4:$Q$36,11,)</f>
        <v>38758.576000000001</v>
      </c>
      <c r="F28" s="25">
        <f>VLOOKUP($A$4:$A$30,'[5]Anexo V-Resumo Valor 80% '!$A$4:$Q$36,12,)</f>
        <v>12640.256000000001</v>
      </c>
      <c r="G28" s="25">
        <f t="shared" si="4"/>
        <v>51398.832000000002</v>
      </c>
      <c r="H28" s="25">
        <f>VLOOKUP($A$4:$A$30,'[5]Anexo V-Resumo Valor 80% '!$A$4:$Q$36,15,)</f>
        <v>585134.67000000004</v>
      </c>
      <c r="I28" s="25">
        <f>VLOOKUP($A$4:$A$30,'[5]Anexo V-Resumo Valor 80% '!$A$4:$Q$36,17,)</f>
        <v>49948.9</v>
      </c>
      <c r="J28" s="31">
        <f t="shared" si="2"/>
        <v>1188510.29</v>
      </c>
      <c r="K28" s="65">
        <f>J28-VLOOKUP($A$4:$A$30,'[5]Anexo V-Resumo Valor 80% '!$A$4:$S$36,19,)</f>
        <v>0</v>
      </c>
      <c r="L28" s="25">
        <f>VLOOKUP($A$4:$A$30,'[6]Anexo VI.I-Aporte do FA'!$A$4:$C$33,3,)</f>
        <v>21682.328047667306</v>
      </c>
      <c r="M28" s="25">
        <f>VLOOKUP($A$4:$A$30,'[6]Anexo VI-Repasse Fundo de Apoio'!$A$4:$G$16,7,)</f>
        <v>14440</v>
      </c>
      <c r="N28" s="25">
        <f>VLOOKUP($A$4:$A$30,'[6]Anexo VI-Repasse Fundo de Apoio'!$A$4:$H$16,8,)</f>
        <v>172875.39347385807</v>
      </c>
      <c r="O28" s="23"/>
      <c r="P28" s="25">
        <f>VLOOKUP($A$4:$A$30,'[6]Anexo VII- CSC - SERV.'!$A$4:$D$37,4,)</f>
        <v>93000.36</v>
      </c>
      <c r="Q28" s="25">
        <f>VLOOKUP($A$4:$A$30,'[6]Anexo VII- CSC - SERV.'!$A$4:$F$38,6,)-P28</f>
        <v>11151.627473858112</v>
      </c>
      <c r="R28" s="66">
        <f>VLOOKUP($A$4:$A$30,'[6]Anexo VII- CSC - SERV.'!$A$4:$F$38,6,)-(P28+Q28)</f>
        <v>0</v>
      </c>
      <c r="S28" s="25">
        <f>VLOOKUP($A$4:$A$30,'[6]Anexo VII.III- SISCAF'!$A$10:$C$28,3,)</f>
        <v>8095.1841845333583</v>
      </c>
      <c r="T28" s="22"/>
      <c r="U28" s="25">
        <f>VLOOKUP($A$4:$A$30,'[6] Anexo VIII-TARIFAS BANCÁRIAS'!$A$3:$D$35,4,)</f>
        <v>4426.7815768279997</v>
      </c>
      <c r="V28" s="22"/>
      <c r="W28" s="29">
        <f>VLOOKUP($A$4:$A$30,'[6]Anexo III- Qde Prof_Empr_RRT'!$A$5:$X$37,3,)</f>
        <v>1633</v>
      </c>
      <c r="X28" s="29">
        <f>VLOOKUP($A$4:$A$30,'[6]Anexo III- Qde Prof_Empr_RRT'!$A$5:$X$37,6,)</f>
        <v>1599</v>
      </c>
      <c r="Y28" s="30">
        <f>VLOOKUP($A$4:$A$30,'[6]Anexo III- Qde Prof_Empr_RRT'!$A$5:$X$37,12,)</f>
        <v>28.642901813633529</v>
      </c>
      <c r="Z28" s="29">
        <f>VLOOKUP($A$4:$A$30,'[6]Anexo III- Qde Prof_Empr_RRT'!$A$5:$X$37,15,)</f>
        <v>172</v>
      </c>
      <c r="AA28" s="30">
        <f>VLOOKUP($A$4:$A$30,'[6]Anexo III- Qde Prof_Empr_RRT'!$A$5:$X$37,21,)</f>
        <v>40.697674418604649</v>
      </c>
      <c r="AB28" s="29">
        <f>VLOOKUP($A$4:$A$30,'[6]Anexo III- Qde Prof_Empr_RRT'!$A$5:$X$37,24,)</f>
        <v>6758</v>
      </c>
      <c r="AC28"/>
      <c r="AD28" s="22">
        <v>0</v>
      </c>
      <c r="AE28"/>
      <c r="AF28" s="22">
        <f>VLOOKUP($A$4:$A$30,'[7]Demonstrativos 2020'!$A$6:$Y$32,25,)</f>
        <v>778556.55</v>
      </c>
      <c r="AG28" s="22"/>
      <c r="AH28" s="130">
        <v>2338474</v>
      </c>
      <c r="AM28" s="4"/>
      <c r="AR28" s="28"/>
    </row>
    <row r="29" spans="1:44" ht="16.5" thickBot="1">
      <c r="A29" s="32" t="s">
        <v>823</v>
      </c>
      <c r="B29" s="25">
        <f>VLOOKUP($A$4:$A$30,'[5]Anexo V-Resumo Valor 80% '!$A$4:$Q$36,5,)</f>
        <v>17642934.056000002</v>
      </c>
      <c r="C29" s="25">
        <f>VLOOKUP($A$4:$A$30,'[5]Anexo V-Resumo Valor 80% '!$A$4:$Q$36,6,)</f>
        <v>3147567.4000000004</v>
      </c>
      <c r="D29" s="25">
        <f t="shared" si="3"/>
        <v>20790501.456</v>
      </c>
      <c r="E29" s="25">
        <f>VLOOKUP($A$4:$A$30,'[5]Anexo V-Resumo Valor 80% '!$A$4:$Q$36,11,)</f>
        <v>1729808.0079999999</v>
      </c>
      <c r="F29" s="25">
        <f>VLOOKUP($A$4:$A$30,'[5]Anexo V-Resumo Valor 80% '!$A$4:$Q$36,12,)</f>
        <v>422009.97600000002</v>
      </c>
      <c r="G29" s="25">
        <f t="shared" si="4"/>
        <v>2151817.9840000002</v>
      </c>
      <c r="H29" s="25">
        <f>VLOOKUP($A$4:$A$30,'[5]Anexo V-Resumo Valor 80% '!$A$4:$Q$36,15,)</f>
        <v>30198334.600000001</v>
      </c>
      <c r="I29" s="25">
        <f>VLOOKUP($A$4:$A$30,'[5]Anexo V-Resumo Valor 80% '!$A$4:$Q$36,17,)</f>
        <v>1700500.93</v>
      </c>
      <c r="J29" s="31">
        <f t="shared" si="2"/>
        <v>54841154.969999999</v>
      </c>
      <c r="K29" s="65">
        <f>J29-VLOOKUP($A$4:$A$30,'[5]Anexo V-Resumo Valor 80% '!$A$4:$S$36,19,)</f>
        <v>0</v>
      </c>
      <c r="L29" s="25">
        <f>VLOOKUP($A$4:$A$30,'[6]Anexo VI.I-Aporte do FA'!$A$4:$C$33,3,)</f>
        <v>997466.6695633902</v>
      </c>
      <c r="M29" s="25"/>
      <c r="N29" s="25"/>
      <c r="P29" s="25">
        <f>VLOOKUP($A$4:$A$30,'[6]Anexo VII- CSC - SERV.'!$A$4:$D$37,4,)</f>
        <v>4278357.87</v>
      </c>
      <c r="Q29" s="25">
        <f>VLOOKUP($A$4:$A$30,'[6]Anexo VII- CSC - SERV.'!$A$4:$F$38,6,)-P29</f>
        <v>535085.82804265618</v>
      </c>
      <c r="R29" s="66">
        <f>VLOOKUP($A$4:$A$30,'[6]Anexo VII- CSC - SERV.'!$A$4:$F$38,6,)-(P29+Q29)</f>
        <v>0</v>
      </c>
      <c r="S29" s="25"/>
      <c r="U29" s="25">
        <f>VLOOKUP($A$4:$A$30,'[6] Anexo VIII-TARIFAS BANCÁRIAS'!$A$3:$D$35,4,)</f>
        <v>194251.69917792606</v>
      </c>
      <c r="W29" s="29">
        <f>VLOOKUP($A$4:$A$30,'[6]Anexo III- Qde Prof_Empr_RRT'!$A$5:$X$37,3,)</f>
        <v>67388</v>
      </c>
      <c r="X29" s="29">
        <f>VLOOKUP($A$4:$A$30,'[6]Anexo III- Qde Prof_Empr_RRT'!$A$5:$X$37,6,)</f>
        <v>63009</v>
      </c>
      <c r="Y29" s="30">
        <f>VLOOKUP($A$4:$A$30,'[6]Anexo III- Qde Prof_Empr_RRT'!$A$5:$X$37,12,)</f>
        <v>25.999460394546816</v>
      </c>
      <c r="Z29" s="29">
        <f>VLOOKUP($A$4:$A$30,'[6]Anexo III- Qde Prof_Empr_RRT'!$A$5:$X$37,15,)</f>
        <v>8228</v>
      </c>
      <c r="AA29" s="30">
        <f>VLOOKUP($A$4:$A$30,'[6]Anexo III- Qde Prof_Empr_RRT'!$A$5:$X$37,21,)</f>
        <v>44.385026737967912</v>
      </c>
      <c r="AB29" s="29">
        <f>VLOOKUP($A$4:$A$30,'[6]Anexo III- Qde Prof_Empr_RRT'!$A$5:$X$37,24,)</f>
        <v>348775</v>
      </c>
      <c r="AD29" s="22">
        <v>0</v>
      </c>
      <c r="AF29" s="22">
        <f>VLOOKUP($A$4:$A$30,'[7]Demonstrativos 2020'!$A$6:$Y$32,25,)</f>
        <v>38768808.050000004</v>
      </c>
      <c r="AG29" s="22"/>
      <c r="AH29" s="130">
        <v>46649132</v>
      </c>
      <c r="AR29" s="28"/>
    </row>
    <row r="30" spans="1:44" ht="16.5" thickBot="1">
      <c r="A30" s="32" t="s">
        <v>824</v>
      </c>
      <c r="B30" s="25">
        <f>VLOOKUP($A$4:$A$30,'[5]Anexo V-Resumo Valor 80% '!$A$4:$Q$36,5,)</f>
        <v>233109.96000000008</v>
      </c>
      <c r="C30" s="25">
        <f>VLOOKUP($A$4:$A$30,'[5]Anexo V-Resumo Valor 80% '!$A$4:$Q$36,6,)</f>
        <v>33368.248</v>
      </c>
      <c r="D30" s="25">
        <f t="shared" si="3"/>
        <v>266478.2080000001</v>
      </c>
      <c r="E30" s="25">
        <f>VLOOKUP($A$4:$A$30,'[5]Anexo V-Resumo Valor 80% '!$A$4:$Q$36,11,)</f>
        <v>29739.488000000001</v>
      </c>
      <c r="F30" s="25">
        <f>VLOOKUP($A$4:$A$30,'[5]Anexo V-Resumo Valor 80% '!$A$4:$Q$36,12,)</f>
        <v>15518.023999999999</v>
      </c>
      <c r="G30" s="25">
        <f t="shared" si="4"/>
        <v>45257.512000000002</v>
      </c>
      <c r="H30" s="25">
        <f>VLOOKUP($A$4:$A$30,'[5]Anexo V-Resumo Valor 80% '!$A$4:$Q$36,15,)</f>
        <v>478376.6</v>
      </c>
      <c r="I30" s="25">
        <f>VLOOKUP($A$4:$A$30,'[5]Anexo V-Resumo Valor 80% '!$A$4:$Q$36,17,)</f>
        <v>44505.71</v>
      </c>
      <c r="J30" s="31">
        <f t="shared" si="2"/>
        <v>834618.03000000014</v>
      </c>
      <c r="K30" s="65">
        <f>J30-VLOOKUP($A$4:$A$30,'[5]Anexo V-Resumo Valor 80% '!$A$4:$S$36,19,)</f>
        <v>0</v>
      </c>
      <c r="L30" s="25">
        <f>VLOOKUP($A$4:$A$30,'[6]Anexo VI.I-Aporte do FA'!$A$4:$C$33,3,)</f>
        <v>15389.346166549039</v>
      </c>
      <c r="M30" s="25">
        <f>VLOOKUP($A$4:$A$30,'[6]Anexo VI-Repasse Fundo de Apoio'!$A$4:$G$16,7,)</f>
        <v>12440</v>
      </c>
      <c r="N30" s="25">
        <f>VLOOKUP($A$4:$A$30,'[6]Anexo VI-Repasse Fundo de Apoio'!$A$4:$H$16,8,)</f>
        <v>435878.42532100301</v>
      </c>
      <c r="P30" s="25">
        <f>VLOOKUP($A$4:$A$30,'[6]Anexo VII- CSC - SERV.'!$A$4:$D$37,4,)</f>
        <v>66008.350000000006</v>
      </c>
      <c r="Q30" s="25">
        <f>VLOOKUP($A$4:$A$30,'[6]Anexo VII- CSC - SERV.'!$A$4:$F$38,6,)-P30</f>
        <v>8007.9933210030576</v>
      </c>
      <c r="R30" s="66">
        <f>VLOOKUP($A$4:$A$30,'[6]Anexo VII- CSC - SERV.'!$A$4:$F$38,6,)-(P30+Q30)</f>
        <v>0</v>
      </c>
      <c r="S30" s="25">
        <f>VLOOKUP($A$4:$A$30,'[6]Anexo VII.III- SISCAF'!$A$10:$C$28,3,)</f>
        <v>5193.9456658119079</v>
      </c>
      <c r="U30" s="25">
        <f>VLOOKUP($A$4:$A$30,'[6] Anexo VIII-TARIFAS BANCÁRIAS'!$A$3:$D$35,4,)</f>
        <v>3341.2706063620008</v>
      </c>
      <c r="W30" s="29">
        <f>VLOOKUP($A$4:$A$30,'[6]Anexo III- Qde Prof_Empr_RRT'!$A$5:$X$37,3,)</f>
        <v>873</v>
      </c>
      <c r="X30" s="29">
        <f>VLOOKUP($A$4:$A$30,'[6]Anexo III- Qde Prof_Empr_RRT'!$A$5:$X$37,6,)</f>
        <v>854</v>
      </c>
      <c r="Y30" s="30">
        <f>VLOOKUP($A$4:$A$30,'[6]Anexo III- Qde Prof_Empr_RRT'!$A$5:$X$37,12,)</f>
        <v>27.868852459016395</v>
      </c>
      <c r="Z30" s="29">
        <f>VLOOKUP($A$4:$A$30,'[6]Anexo III- Qde Prof_Empr_RRT'!$A$5:$X$37,15,)</f>
        <v>213</v>
      </c>
      <c r="AA30" s="30">
        <f>VLOOKUP($A$4:$A$30,'[6]Anexo III- Qde Prof_Empr_RRT'!$A$5:$X$37,21,)</f>
        <v>63.380281690140841</v>
      </c>
      <c r="AB30" s="29">
        <f>VLOOKUP($A$4:$A$30,'[6]Anexo III- Qde Prof_Empr_RRT'!$A$5:$X$37,24,)</f>
        <v>5525</v>
      </c>
      <c r="AD30" s="22">
        <v>0</v>
      </c>
      <c r="AF30" s="22">
        <f>VLOOKUP($A$4:$A$30,'[7]Demonstrativos 2020'!$A$6:$Y$32,25,)</f>
        <v>863875.25</v>
      </c>
      <c r="AG30" s="22"/>
      <c r="AH30" s="130">
        <v>1607363</v>
      </c>
      <c r="AR30" s="28"/>
    </row>
    <row r="31" spans="1:44">
      <c r="P31" s="27"/>
      <c r="Q31" s="27"/>
    </row>
    <row r="32" spans="1:44">
      <c r="A32" s="26" t="s">
        <v>873</v>
      </c>
      <c r="B32" s="29">
        <v>2</v>
      </c>
      <c r="C32" s="29">
        <f>B32+1</f>
        <v>3</v>
      </c>
      <c r="D32" s="29">
        <f t="shared" ref="D32:AH32" si="5">C32+1</f>
        <v>4</v>
      </c>
      <c r="E32" s="29">
        <f t="shared" si="5"/>
        <v>5</v>
      </c>
      <c r="F32" s="29">
        <f t="shared" si="5"/>
        <v>6</v>
      </c>
      <c r="G32" s="29">
        <f t="shared" si="5"/>
        <v>7</v>
      </c>
      <c r="H32" s="29">
        <f t="shared" si="5"/>
        <v>8</v>
      </c>
      <c r="I32" s="29">
        <f t="shared" si="5"/>
        <v>9</v>
      </c>
      <c r="J32" s="29">
        <f t="shared" si="5"/>
        <v>10</v>
      </c>
      <c r="K32" s="29">
        <f t="shared" si="5"/>
        <v>11</v>
      </c>
      <c r="L32" s="29">
        <f t="shared" si="5"/>
        <v>12</v>
      </c>
      <c r="M32" s="29">
        <f t="shared" si="5"/>
        <v>13</v>
      </c>
      <c r="N32" s="29">
        <f t="shared" si="5"/>
        <v>14</v>
      </c>
      <c r="O32" s="29">
        <f t="shared" si="5"/>
        <v>15</v>
      </c>
      <c r="P32" s="29">
        <f t="shared" si="5"/>
        <v>16</v>
      </c>
      <c r="Q32" s="29">
        <f t="shared" si="5"/>
        <v>17</v>
      </c>
      <c r="R32" s="29">
        <f t="shared" si="5"/>
        <v>18</v>
      </c>
      <c r="S32" s="29">
        <f t="shared" si="5"/>
        <v>19</v>
      </c>
      <c r="T32" s="29">
        <f t="shared" si="5"/>
        <v>20</v>
      </c>
      <c r="U32" s="29">
        <f t="shared" si="5"/>
        <v>21</v>
      </c>
      <c r="V32" s="29">
        <f t="shared" si="5"/>
        <v>22</v>
      </c>
      <c r="W32" s="29">
        <f t="shared" si="5"/>
        <v>23</v>
      </c>
      <c r="X32" s="29">
        <f t="shared" si="5"/>
        <v>24</v>
      </c>
      <c r="Y32" s="29">
        <f t="shared" si="5"/>
        <v>25</v>
      </c>
      <c r="Z32" s="29">
        <f t="shared" si="5"/>
        <v>26</v>
      </c>
      <c r="AA32" s="29">
        <f t="shared" si="5"/>
        <v>27</v>
      </c>
      <c r="AB32" s="29">
        <f t="shared" si="5"/>
        <v>28</v>
      </c>
      <c r="AC32" s="29">
        <f t="shared" si="5"/>
        <v>29</v>
      </c>
      <c r="AD32" s="29">
        <f t="shared" si="5"/>
        <v>30</v>
      </c>
      <c r="AE32" s="29">
        <f t="shared" si="5"/>
        <v>31</v>
      </c>
      <c r="AF32" s="29">
        <f t="shared" si="5"/>
        <v>32</v>
      </c>
      <c r="AG32" s="29">
        <f t="shared" si="5"/>
        <v>33</v>
      </c>
      <c r="AH32" s="29">
        <f t="shared" si="5"/>
        <v>34</v>
      </c>
    </row>
    <row r="33" spans="16:17" hidden="1">
      <c r="P33" s="96"/>
      <c r="Q33" s="96"/>
    </row>
    <row r="34" spans="16:17" hidden="1">
      <c r="P34" s="96"/>
      <c r="Q34" s="96"/>
    </row>
    <row r="35" spans="16:17" hidden="1">
      <c r="P35" s="96"/>
      <c r="Q35" s="96"/>
    </row>
    <row r="36" spans="16:17" hidden="1">
      <c r="P36" s="96"/>
      <c r="Q36" s="96"/>
    </row>
  </sheetData>
  <mergeCells count="20">
    <mergeCell ref="AM2:AN2"/>
    <mergeCell ref="AJ18:AK18"/>
    <mergeCell ref="A1:A3"/>
    <mergeCell ref="B1:J1"/>
    <mergeCell ref="E2:G2"/>
    <mergeCell ref="B2:D2"/>
    <mergeCell ref="I2:I3"/>
    <mergeCell ref="AH2:AH3"/>
    <mergeCell ref="AJ26:AK26"/>
    <mergeCell ref="H2:H3"/>
    <mergeCell ref="J2:J3"/>
    <mergeCell ref="L1:N2"/>
    <mergeCell ref="P1:Q2"/>
    <mergeCell ref="W1:AB1"/>
    <mergeCell ref="W2:Y2"/>
    <mergeCell ref="Z2:AA2"/>
    <mergeCell ref="S1:S2"/>
    <mergeCell ref="U1:U2"/>
    <mergeCell ref="AD2:AD3"/>
    <mergeCell ref="AF2:AF3"/>
  </mergeCells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7030A0"/>
  </sheetPr>
  <dimension ref="A1:IO26"/>
  <sheetViews>
    <sheetView showGridLines="0" zoomScale="90" zoomScaleNormal="90" workbookViewId="0">
      <selection activeCell="M5" sqref="M5"/>
    </sheetView>
  </sheetViews>
  <sheetFormatPr defaultColWidth="0" defaultRowHeight="23.25" zeroHeight="1"/>
  <cols>
    <col min="1" max="1" width="16.5703125" style="74" customWidth="1"/>
    <col min="2" max="2" width="70.42578125" style="75" customWidth="1"/>
    <col min="3" max="3" width="8.42578125" style="75" bestFit="1" customWidth="1"/>
    <col min="4" max="4" width="17.7109375" style="81" customWidth="1"/>
    <col min="5" max="5" width="8.140625" style="75" bestFit="1" customWidth="1"/>
    <col min="6" max="6" width="17.7109375" style="81" customWidth="1"/>
    <col min="7" max="7" width="8.42578125" style="75" bestFit="1" customWidth="1"/>
    <col min="8" max="8" width="17.7109375" style="81" customWidth="1"/>
    <col min="9" max="9" width="8.42578125" style="75" bestFit="1" customWidth="1"/>
    <col min="10" max="10" width="17.7109375" style="81" customWidth="1"/>
    <col min="11" max="11" width="12.28515625" style="75" bestFit="1" customWidth="1"/>
    <col min="12" max="12" width="8.5703125" style="68" customWidth="1"/>
    <col min="13" max="13" width="130.7109375" style="90" bestFit="1" customWidth="1"/>
    <col min="14" max="249" width="0" style="68" hidden="1" customWidth="1"/>
    <col min="250" max="16384" width="22.5703125" style="68" hidden="1"/>
  </cols>
  <sheetData>
    <row r="1" spans="1:13">
      <c r="A1" s="542" t="s">
        <v>874</v>
      </c>
      <c r="B1" s="542" t="s">
        <v>875</v>
      </c>
      <c r="C1" s="541" t="s">
        <v>876</v>
      </c>
      <c r="D1" s="541"/>
      <c r="E1" s="541" t="s">
        <v>877</v>
      </c>
      <c r="F1" s="541"/>
      <c r="G1" s="541" t="s">
        <v>878</v>
      </c>
      <c r="H1" s="541"/>
      <c r="I1" s="541" t="s">
        <v>879</v>
      </c>
      <c r="J1" s="541"/>
      <c r="K1" s="544" t="s">
        <v>880</v>
      </c>
      <c r="M1" s="91" t="s">
        <v>881</v>
      </c>
    </row>
    <row r="2" spans="1:13">
      <c r="A2" s="543"/>
      <c r="B2" s="543"/>
      <c r="C2" s="83" t="s">
        <v>882</v>
      </c>
      <c r="D2" s="84" t="s">
        <v>425</v>
      </c>
      <c r="E2" s="83" t="s">
        <v>882</v>
      </c>
      <c r="F2" s="84" t="s">
        <v>425</v>
      </c>
      <c r="G2" s="83" t="s">
        <v>882</v>
      </c>
      <c r="H2" s="84" t="s">
        <v>425</v>
      </c>
      <c r="I2" s="83" t="s">
        <v>882</v>
      </c>
      <c r="J2" s="84" t="s">
        <v>425</v>
      </c>
      <c r="K2" s="545"/>
      <c r="M2" s="91" t="s">
        <v>883</v>
      </c>
    </row>
    <row r="3" spans="1:13" ht="30.75" customHeight="1">
      <c r="A3" s="546" t="s">
        <v>884</v>
      </c>
      <c r="B3" s="71" t="s">
        <v>19</v>
      </c>
      <c r="C3" s="72">
        <f>COUNTIFS('Quadro Geral'!$E:$E,'Matriz de Obj. Estrat.'!$B3,'Quadro Geral'!$B:$B,"P")</f>
        <v>0</v>
      </c>
      <c r="D3" s="80">
        <f>SUMIFS('Quadro Geral'!$I:$I,'Quadro Geral'!$E:$E,'Matriz de Obj. Estrat.'!$B3,'Quadro Geral'!$B:$B,"P")</f>
        <v>0</v>
      </c>
      <c r="E3" s="72">
        <f>COUNTIFS('Quadro Geral'!$E:$E,'Matriz de Obj. Estrat.'!$B3,'Quadro Geral'!$B:$B,"PE")</f>
        <v>0</v>
      </c>
      <c r="F3" s="80">
        <f>SUMIFS('Quadro Geral'!$I:$I,'Quadro Geral'!$E:$E,'Matriz de Obj. Estrat.'!$B3,'Quadro Geral'!$B:$B,"PE")</f>
        <v>0</v>
      </c>
      <c r="G3" s="72">
        <f>COUNTIFS('Quadro Geral'!$E:$E,'Matriz de Obj. Estrat.'!$B3,'Quadro Geral'!$B:$B,"A")</f>
        <v>0</v>
      </c>
      <c r="H3" s="80">
        <f>SUMIFS('Quadro Geral'!$I:$I,'Quadro Geral'!$E:$E,'Matriz de Obj. Estrat.'!$B3,'Quadro Geral'!$B:$B,"A")</f>
        <v>0</v>
      </c>
      <c r="I3" s="72">
        <f>C3+E3+G3</f>
        <v>0</v>
      </c>
      <c r="J3" s="80">
        <f>D3+F3+H3</f>
        <v>0</v>
      </c>
      <c r="K3" s="73">
        <f t="shared" ref="K3:K18" si="0">IFERROR(J3/$J$19*100,0)</f>
        <v>0</v>
      </c>
      <c r="M3" s="90" t="s">
        <v>75</v>
      </c>
    </row>
    <row r="4" spans="1:13" ht="30.75" customHeight="1">
      <c r="A4" s="546"/>
      <c r="B4" s="71" t="s">
        <v>329</v>
      </c>
      <c r="C4" s="72">
        <f>COUNTIFS('Quadro Geral'!$E:$E,'Matriz de Obj. Estrat.'!$B4,'Quadro Geral'!$B:$B,"P")</f>
        <v>0</v>
      </c>
      <c r="D4" s="80">
        <f>SUMIFS('Quadro Geral'!$I:$I,'Quadro Geral'!$E:$E,'Matriz de Obj. Estrat.'!$B4,'Quadro Geral'!$B:$B,"P")</f>
        <v>0</v>
      </c>
      <c r="E4" s="72">
        <f>COUNTIFS('Quadro Geral'!$E:$E,'Matriz de Obj. Estrat.'!$B4,'Quadro Geral'!$B:$B,"PE")</f>
        <v>0</v>
      </c>
      <c r="F4" s="80">
        <f>SUMIFS('Quadro Geral'!$I:$I,'Quadro Geral'!$E:$E,'Matriz de Obj. Estrat.'!$B4,'Quadro Geral'!$B:$B,"PE")</f>
        <v>0</v>
      </c>
      <c r="G4" s="72">
        <f>COUNTIFS('Quadro Geral'!$E:$E,'Matriz de Obj. Estrat.'!$B4,'Quadro Geral'!$B:$B,"A")</f>
        <v>1</v>
      </c>
      <c r="H4" s="80">
        <f>SUMIFS('Quadro Geral'!$I:$I,'Quadro Geral'!$E:$E,'Matriz de Obj. Estrat.'!$B4,'Quadro Geral'!$B:$B,"A")</f>
        <v>18000</v>
      </c>
      <c r="I4" s="72">
        <f t="shared" ref="I4:I18" si="1">C4+E4+G4</f>
        <v>1</v>
      </c>
      <c r="J4" s="80">
        <f t="shared" ref="J4:J18" si="2">D4+F4+H4</f>
        <v>18000</v>
      </c>
      <c r="K4" s="73">
        <f t="shared" si="0"/>
        <v>0.14941313310362045</v>
      </c>
      <c r="M4" s="90" t="s">
        <v>98</v>
      </c>
    </row>
    <row r="5" spans="1:13" ht="30.75" customHeight="1">
      <c r="A5" s="547" t="s">
        <v>885</v>
      </c>
      <c r="B5" s="71" t="s">
        <v>30</v>
      </c>
      <c r="C5" s="72">
        <f>COUNTIFS('Quadro Geral'!$E:$E,'Matriz de Obj. Estrat.'!$B5,'Quadro Geral'!$B:$B,"P")</f>
        <v>0</v>
      </c>
      <c r="D5" s="80">
        <f>SUMIFS('Quadro Geral'!$I:$I,'Quadro Geral'!$E:$E,'Matriz de Obj. Estrat.'!$B5,'Quadro Geral'!$B:$B,"P")</f>
        <v>0</v>
      </c>
      <c r="E5" s="72">
        <f>COUNTIFS('Quadro Geral'!$E:$E,'Matriz de Obj. Estrat.'!$B5,'Quadro Geral'!$B:$B,"PE")</f>
        <v>0</v>
      </c>
      <c r="F5" s="80">
        <f>SUMIFS('Quadro Geral'!$I:$I,'Quadro Geral'!$E:$E,'Matriz de Obj. Estrat.'!$B5,'Quadro Geral'!$B:$B,"PE")</f>
        <v>0</v>
      </c>
      <c r="G5" s="72">
        <f>COUNTIFS('Quadro Geral'!$E:$E,'Matriz de Obj. Estrat.'!$B5,'Quadro Geral'!$B:$B,"A")</f>
        <v>4</v>
      </c>
      <c r="H5" s="80">
        <f>SUMIFS('Quadro Geral'!$I:$I,'Quadro Geral'!$E:$E,'Matriz de Obj. Estrat.'!$B5,'Quadro Geral'!$B:$B,"A")</f>
        <v>2650055.6396340225</v>
      </c>
      <c r="I5" s="72">
        <f t="shared" si="1"/>
        <v>4</v>
      </c>
      <c r="J5" s="80">
        <f t="shared" si="2"/>
        <v>2650055.6396340225</v>
      </c>
      <c r="K5" s="73">
        <f t="shared" si="0"/>
        <v>21.997395334257678</v>
      </c>
      <c r="M5" s="90" t="s">
        <v>145</v>
      </c>
    </row>
    <row r="6" spans="1:13" ht="30.75" customHeight="1">
      <c r="A6" s="547"/>
      <c r="B6" s="71" t="s">
        <v>253</v>
      </c>
      <c r="C6" s="72">
        <f>COUNTIFS('Quadro Geral'!$E:$E,'Matriz de Obj. Estrat.'!$B6,'Quadro Geral'!$B:$B,"P")</f>
        <v>0</v>
      </c>
      <c r="D6" s="80">
        <f>SUMIFS('Quadro Geral'!$I:$I,'Quadro Geral'!$E:$E,'Matriz de Obj. Estrat.'!$B6,'Quadro Geral'!$B:$B,"P")</f>
        <v>0</v>
      </c>
      <c r="E6" s="72">
        <f>COUNTIFS('Quadro Geral'!$E:$E,'Matriz de Obj. Estrat.'!$B6,'Quadro Geral'!$B:$B,"PE")</f>
        <v>0</v>
      </c>
      <c r="F6" s="80">
        <f>SUMIFS('Quadro Geral'!$I:$I,'Quadro Geral'!$E:$E,'Matriz de Obj. Estrat.'!$B6,'Quadro Geral'!$B:$B,"PE")</f>
        <v>0</v>
      </c>
      <c r="G6" s="72">
        <f>COUNTIFS('Quadro Geral'!$E:$E,'Matriz de Obj. Estrat.'!$B6,'Quadro Geral'!$B:$B,"A")</f>
        <v>8</v>
      </c>
      <c r="H6" s="80">
        <f>SUMIFS('Quadro Geral'!$I:$I,'Quadro Geral'!$E:$E,'Matriz de Obj. Estrat.'!$B6,'Quadro Geral'!$B:$B,"A")</f>
        <v>2563110.2904197378</v>
      </c>
      <c r="I6" s="72">
        <f t="shared" si="1"/>
        <v>8</v>
      </c>
      <c r="J6" s="80">
        <f t="shared" si="2"/>
        <v>2563110.2904197378</v>
      </c>
      <c r="K6" s="73">
        <f t="shared" si="0"/>
        <v>21.275685498985752</v>
      </c>
    </row>
    <row r="7" spans="1:13" ht="30.75" customHeight="1">
      <c r="A7" s="547"/>
      <c r="B7" s="71" t="s">
        <v>75</v>
      </c>
      <c r="C7" s="72">
        <f>COUNTIFS('Quadro Geral'!$E:$E,'Matriz de Obj. Estrat.'!$B7,'Quadro Geral'!$B:$B,"P")</f>
        <v>4</v>
      </c>
      <c r="D7" s="80">
        <f>SUMIFS('Quadro Geral'!$I:$I,'Quadro Geral'!$E:$E,'Matriz de Obj. Estrat.'!$B7,'Quadro Geral'!$B:$B,"P")</f>
        <v>422800</v>
      </c>
      <c r="E7" s="72">
        <f>COUNTIFS('Quadro Geral'!$E:$E,'Matriz de Obj. Estrat.'!$B7,'Quadro Geral'!$B:$B,"PE")</f>
        <v>0</v>
      </c>
      <c r="F7" s="80">
        <f>SUMIFS('Quadro Geral'!$I:$I,'Quadro Geral'!$E:$E,'Matriz de Obj. Estrat.'!$B7,'Quadro Geral'!$B:$B,"PE")</f>
        <v>0</v>
      </c>
      <c r="G7" s="72">
        <f>COUNTIFS('Quadro Geral'!$E:$E,'Matriz de Obj. Estrat.'!$B7,'Quadro Geral'!$B:$B,"A")</f>
        <v>1</v>
      </c>
      <c r="H7" s="80">
        <f>SUMIFS('Quadro Geral'!$I:$I,'Quadro Geral'!$E:$E,'Matriz de Obj. Estrat.'!$B7,'Quadro Geral'!$B:$B,"A")</f>
        <v>178108.346303</v>
      </c>
      <c r="I7" s="72">
        <f t="shared" si="1"/>
        <v>5</v>
      </c>
      <c r="J7" s="80">
        <f t="shared" si="2"/>
        <v>600908.346303</v>
      </c>
      <c r="K7" s="73">
        <f t="shared" si="0"/>
        <v>4.9879777071803657</v>
      </c>
    </row>
    <row r="8" spans="1:13" ht="30.75" customHeight="1">
      <c r="A8" s="547"/>
      <c r="B8" s="71" t="s">
        <v>193</v>
      </c>
      <c r="C8" s="72">
        <f>COUNTIFS('Quadro Geral'!$E:$E,'Matriz de Obj. Estrat.'!$B8,'Quadro Geral'!$B:$B,"P")</f>
        <v>0</v>
      </c>
      <c r="D8" s="80">
        <f>SUMIFS('Quadro Geral'!$I:$I,'Quadro Geral'!$E:$E,'Matriz de Obj. Estrat.'!$B8,'Quadro Geral'!$B:$B,"P")</f>
        <v>0</v>
      </c>
      <c r="E8" s="72">
        <f>COUNTIFS('Quadro Geral'!$E:$E,'Matriz de Obj. Estrat.'!$B8,'Quadro Geral'!$B:$B,"PE")</f>
        <v>0</v>
      </c>
      <c r="F8" s="80">
        <f>SUMIFS('Quadro Geral'!$I:$I,'Quadro Geral'!$E:$E,'Matriz de Obj. Estrat.'!$B8,'Quadro Geral'!$B:$B,"PE")</f>
        <v>0</v>
      </c>
      <c r="G8" s="72">
        <f>COUNTIFS('Quadro Geral'!$E:$E,'Matriz de Obj. Estrat.'!$B8,'Quadro Geral'!$B:$B,"A")</f>
        <v>1</v>
      </c>
      <c r="H8" s="80">
        <f>SUMIFS('Quadro Geral'!$I:$I,'Quadro Geral'!$E:$E,'Matriz de Obj. Estrat.'!$B8,'Quadro Geral'!$B:$B,"A")</f>
        <v>68480</v>
      </c>
      <c r="I8" s="72">
        <f t="shared" si="1"/>
        <v>1</v>
      </c>
      <c r="J8" s="80">
        <f t="shared" si="2"/>
        <v>68480</v>
      </c>
      <c r="K8" s="73">
        <f t="shared" si="0"/>
        <v>0.5684339641631071</v>
      </c>
    </row>
    <row r="9" spans="1:13" ht="30.75" customHeight="1">
      <c r="A9" s="547"/>
      <c r="B9" s="71" t="s">
        <v>213</v>
      </c>
      <c r="C9" s="72">
        <f>COUNTIFS('Quadro Geral'!$E:$E,'Matriz de Obj. Estrat.'!$B9,'Quadro Geral'!$B:$B,"P")</f>
        <v>0</v>
      </c>
      <c r="D9" s="80">
        <f>SUMIFS('Quadro Geral'!$I:$I,'Quadro Geral'!$E:$E,'Matriz de Obj. Estrat.'!$B9,'Quadro Geral'!$B:$B,"P")</f>
        <v>0</v>
      </c>
      <c r="E9" s="72">
        <f>COUNTIFS('Quadro Geral'!$E:$E,'Matriz de Obj. Estrat.'!$B9,'Quadro Geral'!$B:$B,"PE")</f>
        <v>0</v>
      </c>
      <c r="F9" s="80">
        <f>SUMIFS('Quadro Geral'!$I:$I,'Quadro Geral'!$E:$E,'Matriz de Obj. Estrat.'!$B9,'Quadro Geral'!$B:$B,"PE")</f>
        <v>0</v>
      </c>
      <c r="G9" s="72">
        <f>COUNTIFS('Quadro Geral'!$E:$E,'Matriz de Obj. Estrat.'!$B9,'Quadro Geral'!$B:$B,"A")</f>
        <v>1</v>
      </c>
      <c r="H9" s="80">
        <f>SUMIFS('Quadro Geral'!$I:$I,'Quadro Geral'!$E:$E,'Matriz de Obj. Estrat.'!$B9,'Quadro Geral'!$B:$B,"A")</f>
        <v>68400</v>
      </c>
      <c r="I9" s="72">
        <f t="shared" si="1"/>
        <v>1</v>
      </c>
      <c r="J9" s="80">
        <f t="shared" si="2"/>
        <v>68400</v>
      </c>
      <c r="K9" s="73">
        <f t="shared" si="0"/>
        <v>0.56776990579375775</v>
      </c>
    </row>
    <row r="10" spans="1:13" ht="30.75" customHeight="1">
      <c r="A10" s="547"/>
      <c r="B10" s="71" t="s">
        <v>220</v>
      </c>
      <c r="C10" s="72">
        <f>COUNTIFS('Quadro Geral'!$E:$E,'Matriz de Obj. Estrat.'!$B10,'Quadro Geral'!$B:$B,"P")</f>
        <v>1</v>
      </c>
      <c r="D10" s="80">
        <f>SUMIFS('Quadro Geral'!$I:$I,'Quadro Geral'!$E:$E,'Matriz de Obj. Estrat.'!$B10,'Quadro Geral'!$B:$B,"P")</f>
        <v>40000</v>
      </c>
      <c r="E10" s="72">
        <f>COUNTIFS('Quadro Geral'!$E:$E,'Matriz de Obj. Estrat.'!$B10,'Quadro Geral'!$B:$B,"PE")</f>
        <v>0</v>
      </c>
      <c r="F10" s="80">
        <f>SUMIFS('Quadro Geral'!$I:$I,'Quadro Geral'!$E:$E,'Matriz de Obj. Estrat.'!$B10,'Quadro Geral'!$B:$B,"PE")</f>
        <v>0</v>
      </c>
      <c r="G10" s="72">
        <f>COUNTIFS('Quadro Geral'!$E:$E,'Matriz de Obj. Estrat.'!$B10,'Quadro Geral'!$B:$B,"A")</f>
        <v>1</v>
      </c>
      <c r="H10" s="80">
        <f>SUMIFS('Quadro Geral'!$I:$I,'Quadro Geral'!$E:$E,'Matriz de Obj. Estrat.'!$B10,'Quadro Geral'!$B:$B,"A")</f>
        <v>73643</v>
      </c>
      <c r="I10" s="72">
        <f t="shared" si="1"/>
        <v>2</v>
      </c>
      <c r="J10" s="80">
        <f t="shared" si="2"/>
        <v>113643</v>
      </c>
      <c r="K10" s="73">
        <f t="shared" si="0"/>
        <v>0.9433198158497077</v>
      </c>
    </row>
    <row r="11" spans="1:13" ht="30.75" customHeight="1">
      <c r="A11" s="547"/>
      <c r="B11" s="71" t="s">
        <v>98</v>
      </c>
      <c r="C11" s="72">
        <f>COUNTIFS('Quadro Geral'!$E:$E,'Matriz de Obj. Estrat.'!$B11,'Quadro Geral'!$B:$B,"P")</f>
        <v>0</v>
      </c>
      <c r="D11" s="80">
        <f>SUMIFS('Quadro Geral'!$I:$I,'Quadro Geral'!$E:$E,'Matriz de Obj. Estrat.'!$B11,'Quadro Geral'!$B:$B,"P")</f>
        <v>0</v>
      </c>
      <c r="E11" s="72">
        <f>COUNTIFS('Quadro Geral'!$E:$E,'Matriz de Obj. Estrat.'!$B11,'Quadro Geral'!$B:$B,"PE")</f>
        <v>0</v>
      </c>
      <c r="F11" s="80">
        <f>SUMIFS('Quadro Geral'!$I:$I,'Quadro Geral'!$E:$E,'Matriz de Obj. Estrat.'!$B11,'Quadro Geral'!$B:$B,"PE")</f>
        <v>0</v>
      </c>
      <c r="G11" s="72">
        <f>COUNTIFS('Quadro Geral'!$E:$E,'Matriz de Obj. Estrat.'!$B11,'Quadro Geral'!$B:$B,"A")</f>
        <v>1</v>
      </c>
      <c r="H11" s="80">
        <f>SUMIFS('Quadro Geral'!$I:$I,'Quadro Geral'!$E:$E,'Matriz de Obj. Estrat.'!$B11,'Quadro Geral'!$B:$B,"A")</f>
        <v>429409.08843633335</v>
      </c>
      <c r="I11" s="72">
        <f t="shared" si="1"/>
        <v>1</v>
      </c>
      <c r="J11" s="80">
        <f t="shared" si="2"/>
        <v>429409.08843633335</v>
      </c>
      <c r="K11" s="73">
        <f t="shared" si="0"/>
        <v>3.5644087381356777</v>
      </c>
    </row>
    <row r="12" spans="1:13" ht="30.75" customHeight="1">
      <c r="A12" s="547"/>
      <c r="B12" s="71" t="s">
        <v>109</v>
      </c>
      <c r="C12" s="72">
        <f>COUNTIFS('Quadro Geral'!$E:$E,'Matriz de Obj. Estrat.'!$B12,'Quadro Geral'!$B:$B,"P")</f>
        <v>1</v>
      </c>
      <c r="D12" s="80">
        <f>SUMIFS('Quadro Geral'!$I:$I,'Quadro Geral'!$E:$E,'Matriz de Obj. Estrat.'!$B12,'Quadro Geral'!$B:$B,"P")</f>
        <v>20000</v>
      </c>
      <c r="E12" s="72">
        <f>COUNTIFS('Quadro Geral'!$E:$E,'Matriz de Obj. Estrat.'!$B12,'Quadro Geral'!$B:$B,"PE")</f>
        <v>0</v>
      </c>
      <c r="F12" s="80">
        <f>SUMIFS('Quadro Geral'!$I:$I,'Quadro Geral'!$E:$E,'Matriz de Obj. Estrat.'!$B12,'Quadro Geral'!$B:$B,"PE")</f>
        <v>0</v>
      </c>
      <c r="G12" s="72">
        <f>COUNTIFS('Quadro Geral'!$E:$E,'Matriz de Obj. Estrat.'!$B12,'Quadro Geral'!$B:$B,"A")</f>
        <v>1</v>
      </c>
      <c r="H12" s="80">
        <f>SUMIFS('Quadro Geral'!$I:$I,'Quadro Geral'!$E:$E,'Matriz de Obj. Estrat.'!$B12,'Quadro Geral'!$B:$B,"A")</f>
        <v>109401.28</v>
      </c>
      <c r="I12" s="72">
        <f t="shared" si="1"/>
        <v>2</v>
      </c>
      <c r="J12" s="80">
        <f t="shared" si="2"/>
        <v>129401.28</v>
      </c>
      <c r="K12" s="73">
        <f t="shared" si="0"/>
        <v>1.0741250373566034</v>
      </c>
    </row>
    <row r="13" spans="1:13" ht="30.75" customHeight="1">
      <c r="A13" s="547"/>
      <c r="B13" s="71" t="s">
        <v>119</v>
      </c>
      <c r="C13" s="72">
        <f>COUNTIFS('Quadro Geral'!$E:$E,'Matriz de Obj. Estrat.'!$B13,'Quadro Geral'!$B:$B,"P")</f>
        <v>1</v>
      </c>
      <c r="D13" s="80">
        <f>SUMIFS('Quadro Geral'!$I:$I,'Quadro Geral'!$E:$E,'Matriz de Obj. Estrat.'!$B13,'Quadro Geral'!$B:$B,"P")</f>
        <v>300000</v>
      </c>
      <c r="E13" s="72">
        <f>COUNTIFS('Quadro Geral'!$E:$E,'Matriz de Obj. Estrat.'!$B13,'Quadro Geral'!$B:$B,"PE")</f>
        <v>0</v>
      </c>
      <c r="F13" s="80">
        <f>SUMIFS('Quadro Geral'!$I:$I,'Quadro Geral'!$E:$E,'Matriz de Obj. Estrat.'!$B13,'Quadro Geral'!$B:$B,"PE")</f>
        <v>0</v>
      </c>
      <c r="G13" s="72">
        <f>COUNTIFS('Quadro Geral'!$E:$E,'Matriz de Obj. Estrat.'!$B13,'Quadro Geral'!$B:$B,"A")</f>
        <v>1</v>
      </c>
      <c r="H13" s="80">
        <f>SUMIFS('Quadro Geral'!$I:$I,'Quadro Geral'!$E:$E,'Matriz de Obj. Estrat.'!$B13,'Quadro Geral'!$B:$B,"A")</f>
        <v>54830</v>
      </c>
      <c r="I13" s="72">
        <f t="shared" si="1"/>
        <v>2</v>
      </c>
      <c r="J13" s="80">
        <f t="shared" si="2"/>
        <v>354830</v>
      </c>
      <c r="K13" s="73">
        <f t="shared" si="0"/>
        <v>2.9453478899532022</v>
      </c>
    </row>
    <row r="14" spans="1:13" ht="30.75" customHeight="1">
      <c r="A14" s="547"/>
      <c r="B14" s="71" t="s">
        <v>128</v>
      </c>
      <c r="C14" s="72">
        <f>COUNTIFS('Quadro Geral'!$E:$E,'Matriz de Obj. Estrat.'!$B14,'Quadro Geral'!$B:$B,"P")</f>
        <v>0</v>
      </c>
      <c r="D14" s="80">
        <f>SUMIFS('Quadro Geral'!$I:$I,'Quadro Geral'!$E:$E,'Matriz de Obj. Estrat.'!$B14,'Quadro Geral'!$B:$B,"P")</f>
        <v>0</v>
      </c>
      <c r="E14" s="72">
        <f>COUNTIFS('Quadro Geral'!$E:$E,'Matriz de Obj. Estrat.'!$B14,'Quadro Geral'!$B:$B,"PE")</f>
        <v>0</v>
      </c>
      <c r="F14" s="80">
        <f>SUMIFS('Quadro Geral'!$I:$I,'Quadro Geral'!$E:$E,'Matriz de Obj. Estrat.'!$B14,'Quadro Geral'!$B:$B,"PE")</f>
        <v>0</v>
      </c>
      <c r="G14" s="72">
        <f>COUNTIFS('Quadro Geral'!$E:$E,'Matriz de Obj. Estrat.'!$B14,'Quadro Geral'!$B:$B,"A")</f>
        <v>4</v>
      </c>
      <c r="H14" s="80">
        <f>SUMIFS('Quadro Geral'!$I:$I,'Quadro Geral'!$E:$E,'Matriz de Obj. Estrat.'!$B14,'Quadro Geral'!$B:$B,"A")</f>
        <v>2647629.9222336165</v>
      </c>
      <c r="I14" s="72">
        <f t="shared" si="1"/>
        <v>4</v>
      </c>
      <c r="J14" s="80">
        <f t="shared" si="2"/>
        <v>2647629.9222336165</v>
      </c>
      <c r="K14" s="73">
        <f t="shared" si="0"/>
        <v>21.977260109989977</v>
      </c>
    </row>
    <row r="15" spans="1:13" ht="30.75" customHeight="1">
      <c r="A15" s="547"/>
      <c r="B15" s="71" t="s">
        <v>145</v>
      </c>
      <c r="C15" s="72">
        <f>COUNTIFS('Quadro Geral'!$E:$E,'Matriz de Obj. Estrat.'!$B15,'Quadro Geral'!$B:$B,"P")</f>
        <v>0</v>
      </c>
      <c r="D15" s="80">
        <f>SUMIFS('Quadro Geral'!$I:$I,'Quadro Geral'!$E:$E,'Matriz de Obj. Estrat.'!$B15,'Quadro Geral'!$B:$B,"P")</f>
        <v>0</v>
      </c>
      <c r="E15" s="72">
        <f>COUNTIFS('Quadro Geral'!$E:$E,'Matriz de Obj. Estrat.'!$B15,'Quadro Geral'!$B:$B,"PE")</f>
        <v>0</v>
      </c>
      <c r="F15" s="80">
        <f>SUMIFS('Quadro Geral'!$I:$I,'Quadro Geral'!$E:$E,'Matriz de Obj. Estrat.'!$B15,'Quadro Geral'!$B:$B,"PE")</f>
        <v>0</v>
      </c>
      <c r="G15" s="72">
        <f>COUNTIFS('Quadro Geral'!$E:$E,'Matriz de Obj. Estrat.'!$B15,'Quadro Geral'!$B:$B,"A")</f>
        <v>5</v>
      </c>
      <c r="H15" s="80">
        <f>SUMIFS('Quadro Geral'!$I:$I,'Quadro Geral'!$E:$E,'Matriz de Obj. Estrat.'!$B15,'Quadro Geral'!$B:$B,"A")</f>
        <v>1763778.6873252671</v>
      </c>
      <c r="I15" s="72">
        <f t="shared" si="1"/>
        <v>5</v>
      </c>
      <c r="J15" s="80">
        <f t="shared" si="2"/>
        <v>1763778.6873252671</v>
      </c>
      <c r="K15" s="73">
        <f t="shared" si="0"/>
        <v>14.64064998748106</v>
      </c>
    </row>
    <row r="16" spans="1:13" ht="30.75" customHeight="1">
      <c r="A16" s="539" t="s">
        <v>886</v>
      </c>
      <c r="B16" s="71" t="s">
        <v>153</v>
      </c>
      <c r="C16" s="72">
        <f>COUNTIFS('Quadro Geral'!$E:$E,'Matriz de Obj. Estrat.'!$B16,'Quadro Geral'!$B:$B,"P")</f>
        <v>0</v>
      </c>
      <c r="D16" s="80">
        <f>SUMIFS('Quadro Geral'!$I:$I,'Quadro Geral'!$E:$E,'Matriz de Obj. Estrat.'!$B16,'Quadro Geral'!$B:$B,"P")</f>
        <v>0</v>
      </c>
      <c r="E16" s="72">
        <f>COUNTIFS('Quadro Geral'!$E:$E,'Matriz de Obj. Estrat.'!$B16,'Quadro Geral'!$B:$B,"PE")</f>
        <v>0</v>
      </c>
      <c r="F16" s="80">
        <f>SUMIFS('Quadro Geral'!$I:$I,'Quadro Geral'!$E:$E,'Matriz de Obj. Estrat.'!$B16,'Quadro Geral'!$B:$B,"PE")</f>
        <v>0</v>
      </c>
      <c r="G16" s="72">
        <f>COUNTIFS('Quadro Geral'!$E:$E,'Matriz de Obj. Estrat.'!$B16,'Quadro Geral'!$B:$B,"A")</f>
        <v>1</v>
      </c>
      <c r="H16" s="80">
        <f>SUMIFS('Quadro Geral'!$I:$I,'Quadro Geral'!$E:$E,'Matriz de Obj. Estrat.'!$B16,'Quadro Geral'!$B:$B,"A")</f>
        <v>80000</v>
      </c>
      <c r="I16" s="72">
        <f t="shared" si="1"/>
        <v>1</v>
      </c>
      <c r="J16" s="80">
        <f t="shared" si="2"/>
        <v>80000</v>
      </c>
      <c r="K16" s="73">
        <f t="shared" si="0"/>
        <v>0.66405836934942419</v>
      </c>
    </row>
    <row r="17" spans="1:12" ht="30.75" customHeight="1">
      <c r="A17" s="539"/>
      <c r="B17" s="71" t="s">
        <v>157</v>
      </c>
      <c r="C17" s="72">
        <f>COUNTIFS('Quadro Geral'!$E:$E,'Matriz de Obj. Estrat.'!$B17,'Quadro Geral'!$B:$B,"P")</f>
        <v>0</v>
      </c>
      <c r="D17" s="80">
        <f>SUMIFS('Quadro Geral'!$I:$I,'Quadro Geral'!$E:$E,'Matriz de Obj. Estrat.'!$B17,'Quadro Geral'!$B:$B,"P")</f>
        <v>0</v>
      </c>
      <c r="E17" s="72">
        <f>COUNTIFS('Quadro Geral'!$E:$E,'Matriz de Obj. Estrat.'!$B17,'Quadro Geral'!$B:$B,"PE")</f>
        <v>0</v>
      </c>
      <c r="F17" s="80">
        <f>SUMIFS('Quadro Geral'!$I:$I,'Quadro Geral'!$E:$E,'Matriz de Obj. Estrat.'!$B17,'Quadro Geral'!$B:$B,"PE")</f>
        <v>0</v>
      </c>
      <c r="G17" s="72">
        <f>COUNTIFS('Quadro Geral'!$E:$E,'Matriz de Obj. Estrat.'!$B17,'Quadro Geral'!$B:$B,"A")</f>
        <v>2</v>
      </c>
      <c r="H17" s="80">
        <f>SUMIFS('Quadro Geral'!$I:$I,'Quadro Geral'!$E:$E,'Matriz de Obj. Estrat.'!$B17,'Quadro Geral'!$B:$B,"A")</f>
        <v>509487.50564802642</v>
      </c>
      <c r="I17" s="72">
        <f t="shared" si="1"/>
        <v>2</v>
      </c>
      <c r="J17" s="80">
        <f t="shared" si="2"/>
        <v>509487.50564802642</v>
      </c>
      <c r="K17" s="73">
        <f t="shared" si="0"/>
        <v>4.2291180275566749</v>
      </c>
    </row>
    <row r="18" spans="1:12" ht="30.75" customHeight="1">
      <c r="A18" s="539"/>
      <c r="B18" s="71" t="s">
        <v>163</v>
      </c>
      <c r="C18" s="72">
        <f>COUNTIFS('Quadro Geral'!$E:$E,'Matriz de Obj. Estrat.'!$B18,'Quadro Geral'!$B:$B,"P")</f>
        <v>1</v>
      </c>
      <c r="D18" s="80">
        <f>SUMIFS('Quadro Geral'!$I:$I,'Quadro Geral'!$E:$E,'Matriz de Obj. Estrat.'!$B18,'Quadro Geral'!$B:$B,"P")</f>
        <v>50000</v>
      </c>
      <c r="E18" s="72">
        <f>COUNTIFS('Quadro Geral'!$E:$E,'Matriz de Obj. Estrat.'!$B18,'Quadro Geral'!$B:$B,"PE")</f>
        <v>0</v>
      </c>
      <c r="F18" s="80">
        <f>SUMIFS('Quadro Geral'!$I:$I,'Quadro Geral'!$E:$E,'Matriz de Obj. Estrat.'!$B18,'Quadro Geral'!$B:$B,"PE")</f>
        <v>0</v>
      </c>
      <c r="G18" s="72">
        <f>COUNTIFS('Quadro Geral'!$E:$E,'Matriz de Obj. Estrat.'!$B18,'Quadro Geral'!$B:$B,"A")</f>
        <v>0</v>
      </c>
      <c r="H18" s="80">
        <f>SUMIFS('Quadro Geral'!$I:$I,'Quadro Geral'!$E:$E,'Matriz de Obj. Estrat.'!$B18,'Quadro Geral'!$B:$B,"A")</f>
        <v>0</v>
      </c>
      <c r="I18" s="72">
        <f t="shared" si="1"/>
        <v>1</v>
      </c>
      <c r="J18" s="80">
        <f t="shared" si="2"/>
        <v>50000</v>
      </c>
      <c r="K18" s="73">
        <f t="shared" si="0"/>
        <v>0.41503648084339018</v>
      </c>
    </row>
    <row r="19" spans="1:12">
      <c r="A19" s="540" t="s">
        <v>334</v>
      </c>
      <c r="B19" s="540"/>
      <c r="C19" s="85">
        <f>SUM(C3:C18)</f>
        <v>8</v>
      </c>
      <c r="D19" s="85">
        <f t="shared" ref="D19:J19" si="3">SUM(D3:D18)</f>
        <v>832800</v>
      </c>
      <c r="E19" s="85">
        <f t="shared" si="3"/>
        <v>0</v>
      </c>
      <c r="F19" s="85">
        <f t="shared" si="3"/>
        <v>0</v>
      </c>
      <c r="G19" s="85">
        <f t="shared" si="3"/>
        <v>32</v>
      </c>
      <c r="H19" s="85">
        <f t="shared" si="3"/>
        <v>11214333.760000004</v>
      </c>
      <c r="I19" s="85">
        <f t="shared" si="3"/>
        <v>40</v>
      </c>
      <c r="J19" s="85">
        <f t="shared" si="3"/>
        <v>12047133.760000004</v>
      </c>
      <c r="K19" s="86">
        <f>SUM(K3:K18)</f>
        <v>99.999999999999986</v>
      </c>
      <c r="L19" s="69"/>
    </row>
    <row r="20" spans="1:12">
      <c r="D20" s="82"/>
      <c r="E20" s="76"/>
      <c r="F20" s="82"/>
      <c r="G20" s="77"/>
      <c r="H20" s="82"/>
      <c r="I20" s="77"/>
      <c r="J20" s="87">
        <f>'Quadro Geral'!I48</f>
        <v>12047133.760000004</v>
      </c>
    </row>
    <row r="21" spans="1:12">
      <c r="C21" s="78"/>
      <c r="G21" s="78"/>
      <c r="J21" s="87" t="b">
        <f>J20=J19</f>
        <v>1</v>
      </c>
    </row>
    <row r="22" spans="1:12" hidden="1">
      <c r="E22" s="79"/>
    </row>
    <row r="23" spans="1:12" hidden="1">
      <c r="E23" s="79"/>
      <c r="G23" s="78"/>
    </row>
    <row r="24" spans="1:12" hidden="1">
      <c r="E24" s="79"/>
    </row>
    <row r="25" spans="1:12" hidden="1">
      <c r="A25" s="75"/>
      <c r="I25" s="78"/>
    </row>
    <row r="26" spans="1:12" hidden="1">
      <c r="A26" s="75"/>
      <c r="G26" s="79"/>
      <c r="I26" s="78"/>
    </row>
  </sheetData>
  <mergeCells count="11">
    <mergeCell ref="G1:H1"/>
    <mergeCell ref="I1:J1"/>
    <mergeCell ref="K1:K2"/>
    <mergeCell ref="A3:A4"/>
    <mergeCell ref="A5:A15"/>
    <mergeCell ref="A16:A18"/>
    <mergeCell ref="A19:B19"/>
    <mergeCell ref="E1:F1"/>
    <mergeCell ref="A1:A2"/>
    <mergeCell ref="B1:B2"/>
    <mergeCell ref="C1:D1"/>
  </mergeCells>
  <conditionalFormatting sqref="C2:D2 G2:I2">
    <cfRule type="cellIs" dxfId="7" priority="14" operator="equal">
      <formula>"S"</formula>
    </cfRule>
    <cfRule type="cellIs" dxfId="6" priority="15" operator="equal">
      <formula>"P"</formula>
    </cfRule>
    <cfRule type="cellIs" dxfId="5" priority="16" operator="equal">
      <formula>"x"</formula>
    </cfRule>
  </conditionalFormatting>
  <conditionalFormatting sqref="E2:F2">
    <cfRule type="cellIs" dxfId="4" priority="11" operator="equal">
      <formula>"S"</formula>
    </cfRule>
    <cfRule type="cellIs" dxfId="3" priority="12" operator="equal">
      <formula>"P"</formula>
    </cfRule>
    <cfRule type="cellIs" dxfId="2" priority="13" operator="equal">
      <formula>"x"</formula>
    </cfRule>
  </conditionalFormatting>
  <conditionalFormatting sqref="J21">
    <cfRule type="cellIs" dxfId="1" priority="9" operator="equal">
      <formula>TRUE</formula>
    </cfRule>
    <cfRule type="cellIs" dxfId="0" priority="10" operator="equal">
      <formula>FALSE</formula>
    </cfRule>
  </conditionalFormatting>
  <pageMargins left="0.511811024" right="0.511811024" top="0.78740157499999996" bottom="0.78740157499999996" header="0.31496062000000002" footer="0.31496062000000002"/>
  <pageSetup scale="35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A00-000000000000}">
          <x14:formula1>
            <xm:f>'Validação de dados'!$D$1:$D$16</xm:f>
          </x14:formula1>
          <xm:sqref>M3:M5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2A5664"/>
    <pageSetUpPr fitToPage="1"/>
  </sheetPr>
  <dimension ref="A1:V5"/>
  <sheetViews>
    <sheetView showGridLines="0" zoomScale="70" zoomScaleNormal="70" zoomScaleSheetLayoutView="90" workbookViewId="0">
      <selection activeCell="M3" sqref="M3"/>
    </sheetView>
  </sheetViews>
  <sheetFormatPr defaultColWidth="0" defaultRowHeight="15.75" zeroHeight="1"/>
  <cols>
    <col min="1" max="11" width="9.140625" style="3" customWidth="1"/>
    <col min="12" max="12" width="6.140625" style="3" customWidth="1"/>
    <col min="13" max="16" width="9.140625" customWidth="1"/>
    <col min="17" max="22" width="0" hidden="1" customWidth="1"/>
    <col min="23" max="16384" width="9.140625" hidden="1"/>
  </cols>
  <sheetData>
    <row r="1" spans="1:22" s="2" customFormat="1" ht="1.5" customHeight="1">
      <c r="A1" s="358" t="s">
        <v>10</v>
      </c>
      <c r="B1" s="358"/>
      <c r="C1" s="358"/>
      <c r="D1" s="358"/>
      <c r="E1" s="358"/>
      <c r="F1" s="358"/>
      <c r="G1" s="358"/>
      <c r="H1" s="358"/>
      <c r="I1" s="358"/>
      <c r="J1" s="358"/>
      <c r="K1" s="358"/>
      <c r="L1" s="276"/>
      <c r="M1" s="298"/>
      <c r="N1" s="225"/>
      <c r="O1" s="225"/>
      <c r="P1" s="225"/>
      <c r="Q1" s="225"/>
      <c r="R1" s="225"/>
    </row>
    <row r="2" spans="1:22">
      <c r="A2" s="353" t="s">
        <v>11</v>
      </c>
      <c r="B2" s="354"/>
      <c r="C2" s="354"/>
      <c r="D2" s="354"/>
      <c r="E2" s="354"/>
      <c r="F2" s="354"/>
      <c r="G2" s="354"/>
      <c r="H2" s="354"/>
      <c r="I2" s="354"/>
      <c r="J2" s="354"/>
      <c r="K2" s="354"/>
      <c r="L2" s="354"/>
      <c r="M2" s="298"/>
      <c r="N2" s="225"/>
      <c r="O2" s="225"/>
      <c r="P2" s="225"/>
      <c r="Q2" s="225"/>
      <c r="R2" s="225"/>
    </row>
    <row r="3" spans="1:22" ht="379.5" customHeight="1">
      <c r="A3" s="359"/>
      <c r="B3" s="360"/>
      <c r="C3" s="360"/>
      <c r="D3" s="360"/>
      <c r="E3" s="360"/>
      <c r="F3" s="360"/>
      <c r="G3" s="360"/>
      <c r="H3" s="360"/>
      <c r="I3" s="360"/>
      <c r="J3" s="360"/>
      <c r="K3" s="360"/>
      <c r="L3" s="277"/>
      <c r="M3" s="88"/>
      <c r="N3" s="89"/>
      <c r="O3" s="89"/>
      <c r="P3" s="89"/>
      <c r="Q3" s="89"/>
      <c r="R3" s="89"/>
      <c r="S3" s="89"/>
      <c r="T3" s="89"/>
      <c r="U3" s="89"/>
      <c r="V3" s="89"/>
    </row>
    <row r="4" spans="1:22">
      <c r="A4" s="356" t="s">
        <v>12</v>
      </c>
      <c r="B4" s="357"/>
      <c r="C4" s="357"/>
      <c r="D4" s="357"/>
      <c r="E4" s="357"/>
      <c r="F4" s="357"/>
      <c r="G4" s="357"/>
      <c r="H4" s="357"/>
      <c r="I4" s="357"/>
      <c r="J4" s="357"/>
      <c r="K4" s="357"/>
      <c r="L4" s="279"/>
      <c r="M4" s="1"/>
      <c r="N4" s="1"/>
      <c r="O4" s="1"/>
      <c r="P4" s="1"/>
      <c r="Q4" s="1"/>
    </row>
    <row r="5" spans="1:22" ht="300" customHeight="1"/>
  </sheetData>
  <mergeCells count="3">
    <mergeCell ref="A4:K4"/>
    <mergeCell ref="A1:K1"/>
    <mergeCell ref="A3:K3"/>
  </mergeCells>
  <pageMargins left="0.511811024" right="0.511811024" top="0.78740157499999996" bottom="0.78740157499999996" header="0.31496062000000002" footer="0.31496062000000002"/>
  <pageSetup paperSize="9" scale="88" fitToHeight="0" orientation="portrait" r:id="rId1"/>
  <drawing r:id="rId2"/>
  <legacyDrawing r:id="rId3"/>
  <oleObjects>
    <mc:AlternateContent xmlns:mc="http://schemas.openxmlformats.org/markup-compatibility/2006">
      <mc:Choice Requires="x14">
        <oleObject progId="PowerPoint.Slide.12" shapeId="40961" r:id="rId4">
          <objectPr defaultSize="0" autoPict="0" r:id="rId5">
            <anchor moveWithCells="1">
              <from>
                <xdr:col>0</xdr:col>
                <xdr:colOff>0</xdr:colOff>
                <xdr:row>2</xdr:row>
                <xdr:rowOff>19050</xdr:rowOff>
              </from>
              <to>
                <xdr:col>11</xdr:col>
                <xdr:colOff>371475</xdr:colOff>
                <xdr:row>4</xdr:row>
                <xdr:rowOff>66675</xdr:rowOff>
              </to>
            </anchor>
          </objectPr>
        </oleObject>
      </mc:Choice>
      <mc:Fallback>
        <oleObject progId="PowerPoint.Slide.12" shapeId="40961" r:id="rId4"/>
      </mc:Fallback>
    </mc:AlternateContent>
    <mc:AlternateContent xmlns:mc="http://schemas.openxmlformats.org/markup-compatibility/2006">
      <mc:Choice Requires="x14">
        <oleObject progId="PowerPoint.Slide.12" shapeId="40962" r:id="rId6">
          <objectPr defaultSize="0" autoPict="0" r:id="rId7">
            <anchor moveWithCells="1">
              <from>
                <xdr:col>15</xdr:col>
                <xdr:colOff>76200</xdr:colOff>
                <xdr:row>5</xdr:row>
                <xdr:rowOff>0</xdr:rowOff>
              </from>
              <to>
                <xdr:col>16</xdr:col>
                <xdr:colOff>0</xdr:colOff>
                <xdr:row>5</xdr:row>
                <xdr:rowOff>0</xdr:rowOff>
              </to>
            </anchor>
          </objectPr>
        </oleObject>
      </mc:Choice>
      <mc:Fallback>
        <oleObject progId="PowerPoint.Slide.12" shapeId="40962" r:id="rId6"/>
      </mc:Fallback>
    </mc:AlternateContent>
    <mc:AlternateContent xmlns:mc="http://schemas.openxmlformats.org/markup-compatibility/2006">
      <mc:Choice Requires="x14">
        <oleObject progId="PowerPoint.Slide.12" shapeId="40963" r:id="rId8">
          <objectPr defaultSize="0" autoPict="0" r:id="rId7">
            <anchor moveWithCells="1">
              <from>
                <xdr:col>13</xdr:col>
                <xdr:colOff>76200</xdr:colOff>
                <xdr:row>5</xdr:row>
                <xdr:rowOff>0</xdr:rowOff>
              </from>
              <to>
                <xdr:col>16</xdr:col>
                <xdr:colOff>0</xdr:colOff>
                <xdr:row>5</xdr:row>
                <xdr:rowOff>0</xdr:rowOff>
              </to>
            </anchor>
          </objectPr>
        </oleObject>
      </mc:Choice>
      <mc:Fallback>
        <oleObject progId="PowerPoint.Slide.12" shapeId="40963" r:id="rId8"/>
      </mc:Fallback>
    </mc:AlternateContent>
    <mc:AlternateContent xmlns:mc="http://schemas.openxmlformats.org/markup-compatibility/2006">
      <mc:Choice Requires="x14">
        <oleObject progId="PowerPoint.Slide.12" shapeId="40964" r:id="rId9">
          <objectPr defaultSize="0" autoPict="0" r:id="rId7">
            <anchor moveWithCells="1">
              <from>
                <xdr:col>12</xdr:col>
                <xdr:colOff>76200</xdr:colOff>
                <xdr:row>5</xdr:row>
                <xdr:rowOff>0</xdr:rowOff>
              </from>
              <to>
                <xdr:col>16</xdr:col>
                <xdr:colOff>0</xdr:colOff>
                <xdr:row>5</xdr:row>
                <xdr:rowOff>0</xdr:rowOff>
              </to>
            </anchor>
          </objectPr>
        </oleObject>
      </mc:Choice>
      <mc:Fallback>
        <oleObject progId="PowerPoint.Slide.12" shapeId="40964" r:id="rId9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2A5664"/>
  </sheetPr>
  <dimension ref="A1:XFC127"/>
  <sheetViews>
    <sheetView showGridLines="0" topLeftCell="B1" zoomScale="60" zoomScaleNormal="60" zoomScaleSheetLayoutView="50" workbookViewId="0">
      <selection activeCell="F41" sqref="F41:F42"/>
    </sheetView>
  </sheetViews>
  <sheetFormatPr defaultColWidth="0" defaultRowHeight="23.25" zeroHeight="1"/>
  <cols>
    <col min="1" max="1" width="74.7109375" style="119" customWidth="1"/>
    <col min="2" max="2" width="81" style="120" customWidth="1"/>
    <col min="3" max="3" width="11.5703125" style="121" customWidth="1"/>
    <col min="4" max="4" width="16.42578125" style="120" customWidth="1"/>
    <col min="5" max="5" width="17" style="120" customWidth="1"/>
    <col min="6" max="6" width="17" style="122" customWidth="1"/>
    <col min="7" max="8" width="9.140625" style="99" hidden="1"/>
    <col min="9" max="16383" width="9.140625" style="97" hidden="1"/>
    <col min="16384" max="16384" width="0.140625" style="97" customWidth="1"/>
  </cols>
  <sheetData>
    <row r="1" spans="1:17" s="98" customFormat="1" ht="0.75" customHeight="1">
      <c r="A1" s="404" t="s">
        <v>13</v>
      </c>
      <c r="B1" s="405"/>
      <c r="C1" s="405"/>
      <c r="D1" s="405"/>
      <c r="E1" s="405"/>
      <c r="F1" s="405"/>
      <c r="G1" s="222"/>
      <c r="H1" s="222"/>
      <c r="I1" s="97"/>
      <c r="J1" s="97"/>
      <c r="K1" s="97"/>
      <c r="L1" s="97"/>
      <c r="M1" s="97"/>
      <c r="N1" s="97"/>
      <c r="O1" s="97"/>
      <c r="P1" s="97"/>
      <c r="Q1" s="97"/>
    </row>
    <row r="2" spans="1:17" s="98" customFormat="1" ht="45" customHeight="1">
      <c r="A2" s="406" t="s">
        <v>14</v>
      </c>
      <c r="B2" s="406"/>
      <c r="C2" s="406"/>
      <c r="D2" s="406"/>
      <c r="E2" s="406"/>
      <c r="F2" s="406"/>
      <c r="G2" s="99"/>
      <c r="H2" s="99"/>
      <c r="I2" s="97"/>
      <c r="J2" s="97"/>
      <c r="K2" s="97"/>
      <c r="L2" s="97"/>
      <c r="M2" s="97"/>
      <c r="N2" s="97"/>
      <c r="O2" s="97"/>
      <c r="P2" s="97"/>
      <c r="Q2" s="97"/>
    </row>
    <row r="3" spans="1:17" s="98" customFormat="1" ht="42.75" customHeight="1" thickBot="1">
      <c r="A3" s="406" t="s">
        <v>15</v>
      </c>
      <c r="B3" s="406"/>
      <c r="C3" s="406"/>
      <c r="D3" s="406"/>
      <c r="E3" s="406"/>
      <c r="F3" s="406"/>
    </row>
    <row r="4" spans="1:17" s="98" customFormat="1" ht="21" hidden="1" customHeight="1" thickBot="1">
      <c r="A4" s="100"/>
      <c r="B4" s="100"/>
      <c r="C4" s="100"/>
      <c r="D4" s="100"/>
      <c r="E4" s="100"/>
      <c r="F4" s="101"/>
      <c r="G4" s="99"/>
      <c r="H4" s="99"/>
    </row>
    <row r="5" spans="1:17" s="98" customFormat="1" ht="61.5" hidden="1" customHeight="1" thickBot="1">
      <c r="A5" s="334" t="s">
        <v>16</v>
      </c>
      <c r="B5" s="361" t="s">
        <v>17</v>
      </c>
      <c r="C5" s="361"/>
      <c r="D5" s="361"/>
      <c r="E5" s="361"/>
      <c r="F5" s="361"/>
      <c r="G5" s="99"/>
      <c r="H5" s="97"/>
      <c r="I5" s="97"/>
      <c r="J5" s="97"/>
      <c r="K5" s="97"/>
      <c r="L5" s="97"/>
      <c r="M5" s="97"/>
      <c r="N5" s="97"/>
    </row>
    <row r="6" spans="1:17" s="98" customFormat="1" ht="45" customHeight="1">
      <c r="A6" s="383" t="s">
        <v>18</v>
      </c>
      <c r="B6" s="384"/>
      <c r="C6" s="384"/>
      <c r="D6" s="384"/>
      <c r="E6" s="385"/>
      <c r="F6" s="386"/>
      <c r="G6" s="125"/>
      <c r="H6" s="97"/>
      <c r="I6" s="97"/>
      <c r="J6" s="97"/>
      <c r="K6" s="97"/>
      <c r="L6" s="97"/>
      <c r="M6" s="97"/>
      <c r="N6" s="97"/>
    </row>
    <row r="7" spans="1:17" s="98" customFormat="1" ht="45" customHeight="1">
      <c r="A7" s="102" t="s">
        <v>19</v>
      </c>
      <c r="B7" s="387" t="s">
        <v>20</v>
      </c>
      <c r="C7" s="388"/>
      <c r="D7" s="103" t="s">
        <v>21</v>
      </c>
      <c r="E7" s="324" t="s">
        <v>22</v>
      </c>
      <c r="F7" s="104" t="s">
        <v>23</v>
      </c>
      <c r="G7" s="125"/>
      <c r="H7" s="298"/>
      <c r="I7" s="225"/>
      <c r="J7" s="225"/>
      <c r="K7" s="225"/>
      <c r="L7" s="225"/>
      <c r="M7" s="225"/>
    </row>
    <row r="8" spans="1:17" s="98" customFormat="1" ht="30.75" customHeight="1">
      <c r="A8" s="389" t="s">
        <v>24</v>
      </c>
      <c r="B8" s="105" t="s">
        <v>25</v>
      </c>
      <c r="C8" s="391" t="s">
        <v>26</v>
      </c>
      <c r="D8" s="393" t="s">
        <v>27</v>
      </c>
      <c r="E8" s="373">
        <v>0.45</v>
      </c>
      <c r="F8" s="372">
        <v>0.45017584994138338</v>
      </c>
      <c r="G8" s="364" t="b">
        <f>E9='[3]Indicadores e Metas'!$F$6</f>
        <v>1</v>
      </c>
      <c r="H8" s="364">
        <f>384/853</f>
        <v>0.45017584994138338</v>
      </c>
      <c r="I8" s="97"/>
      <c r="J8" s="97"/>
      <c r="K8" s="97"/>
      <c r="L8" s="97"/>
      <c r="M8" s="97"/>
      <c r="N8" s="97"/>
      <c r="O8" s="97"/>
      <c r="P8" s="97"/>
      <c r="Q8" s="97"/>
    </row>
    <row r="9" spans="1:17" s="98" customFormat="1" ht="30.75" customHeight="1">
      <c r="A9" s="390"/>
      <c r="B9" s="106" t="s">
        <v>28</v>
      </c>
      <c r="C9" s="392"/>
      <c r="D9" s="393"/>
      <c r="E9" s="373"/>
      <c r="F9" s="372"/>
      <c r="G9" s="364"/>
      <c r="H9" s="364"/>
      <c r="I9" s="97"/>
      <c r="J9" s="97"/>
      <c r="K9" s="97"/>
      <c r="L9" s="97"/>
      <c r="M9" s="97"/>
      <c r="N9" s="97"/>
      <c r="O9" s="97"/>
      <c r="P9" s="97"/>
      <c r="Q9" s="97"/>
    </row>
    <row r="10" spans="1:17" s="98" customFormat="1" ht="24" customHeight="1">
      <c r="A10" s="107"/>
      <c r="B10" s="100"/>
      <c r="C10" s="100"/>
      <c r="D10" s="100"/>
      <c r="E10" s="100"/>
      <c r="F10" s="101"/>
      <c r="G10" s="125"/>
      <c r="H10" s="125"/>
      <c r="I10" s="97"/>
      <c r="J10" s="97"/>
      <c r="K10" s="97"/>
      <c r="L10" s="97"/>
      <c r="M10" s="97"/>
      <c r="N10" s="97"/>
      <c r="O10" s="97"/>
      <c r="P10" s="97"/>
      <c r="Q10" s="97"/>
    </row>
    <row r="11" spans="1:17" s="98" customFormat="1" ht="45" customHeight="1">
      <c r="A11" s="369" t="s">
        <v>29</v>
      </c>
      <c r="B11" s="369"/>
      <c r="C11" s="369"/>
      <c r="D11" s="369"/>
      <c r="E11" s="369"/>
      <c r="F11" s="369"/>
      <c r="G11" s="125"/>
      <c r="H11" s="125"/>
      <c r="I11" s="97"/>
      <c r="J11" s="97"/>
      <c r="K11" s="97"/>
      <c r="L11" s="97"/>
      <c r="M11" s="97"/>
      <c r="N11" s="97"/>
      <c r="O11" s="97"/>
      <c r="P11" s="97"/>
      <c r="Q11" s="97"/>
    </row>
    <row r="12" spans="1:17" s="98" customFormat="1" ht="45" customHeight="1">
      <c r="A12" s="320" t="s">
        <v>30</v>
      </c>
      <c r="B12" s="374" t="s">
        <v>20</v>
      </c>
      <c r="C12" s="374"/>
      <c r="D12" s="321" t="s">
        <v>21</v>
      </c>
      <c r="E12" s="321" t="s">
        <v>22</v>
      </c>
      <c r="F12" s="321" t="s">
        <v>23</v>
      </c>
      <c r="G12" s="125"/>
      <c r="H12" s="125"/>
      <c r="I12" s="97"/>
      <c r="J12" s="97"/>
      <c r="K12" s="97"/>
      <c r="L12" s="97"/>
      <c r="M12" s="97"/>
      <c r="N12" s="97"/>
      <c r="O12" s="97"/>
      <c r="P12" s="97"/>
      <c r="Q12" s="97"/>
    </row>
    <row r="13" spans="1:17" s="98" customFormat="1" ht="34.5" customHeight="1">
      <c r="A13" s="370" t="s">
        <v>31</v>
      </c>
      <c r="B13" s="325" t="s">
        <v>32</v>
      </c>
      <c r="C13" s="371" t="s">
        <v>26</v>
      </c>
      <c r="D13" s="371" t="s">
        <v>33</v>
      </c>
      <c r="E13" s="373">
        <v>0.5</v>
      </c>
      <c r="F13" s="372">
        <v>0.9</v>
      </c>
      <c r="G13" s="364" t="b">
        <f>E14='[3]Indicadores e Metas'!$F$10</f>
        <v>1</v>
      </c>
      <c r="H13" s="364">
        <f>1971/2190</f>
        <v>0.9</v>
      </c>
      <c r="I13" s="97"/>
      <c r="J13" s="97"/>
      <c r="K13" s="97"/>
      <c r="L13" s="97"/>
      <c r="M13" s="97"/>
      <c r="N13" s="97"/>
      <c r="O13" s="97"/>
      <c r="P13" s="97"/>
      <c r="Q13" s="97"/>
    </row>
    <row r="14" spans="1:17" s="98" customFormat="1" ht="34.5" customHeight="1">
      <c r="A14" s="370"/>
      <c r="B14" s="326" t="s">
        <v>34</v>
      </c>
      <c r="C14" s="371"/>
      <c r="D14" s="371"/>
      <c r="E14" s="373"/>
      <c r="F14" s="372"/>
      <c r="G14" s="364"/>
      <c r="H14" s="364"/>
      <c r="I14" s="97"/>
      <c r="J14" s="97"/>
      <c r="K14" s="97"/>
      <c r="L14" s="97"/>
      <c r="M14" s="97"/>
      <c r="N14" s="97"/>
      <c r="O14" s="97"/>
      <c r="P14" s="97"/>
      <c r="Q14" s="97"/>
    </row>
    <row r="15" spans="1:17" s="98" customFormat="1" ht="34.5" customHeight="1">
      <c r="A15" s="370" t="s">
        <v>35</v>
      </c>
      <c r="B15" s="325" t="s">
        <v>36</v>
      </c>
      <c r="C15" s="371" t="s">
        <v>26</v>
      </c>
      <c r="D15" s="371" t="s">
        <v>33</v>
      </c>
      <c r="E15" s="373">
        <v>0.02</v>
      </c>
      <c r="F15" s="372">
        <v>0.02</v>
      </c>
      <c r="G15" s="364" t="b">
        <f>E16='[3]Indicadores e Metas'!$F$12</f>
        <v>1</v>
      </c>
      <c r="H15" s="364">
        <f>39/1971</f>
        <v>1.9786910197869101E-2</v>
      </c>
      <c r="I15" s="97"/>
      <c r="J15" s="97"/>
      <c r="K15" s="97"/>
      <c r="L15" s="97"/>
      <c r="M15" s="97"/>
      <c r="N15" s="97"/>
      <c r="O15" s="97"/>
      <c r="P15" s="97"/>
      <c r="Q15" s="97"/>
    </row>
    <row r="16" spans="1:17" s="98" customFormat="1" ht="34.5" customHeight="1">
      <c r="A16" s="370"/>
      <c r="B16" s="326" t="s">
        <v>37</v>
      </c>
      <c r="C16" s="371"/>
      <c r="D16" s="371"/>
      <c r="E16" s="373"/>
      <c r="F16" s="372"/>
      <c r="G16" s="364"/>
      <c r="H16" s="364"/>
      <c r="I16" s="97"/>
      <c r="J16" s="97"/>
      <c r="K16" s="97"/>
      <c r="L16" s="97"/>
      <c r="M16" s="97"/>
      <c r="N16" s="97"/>
      <c r="O16" s="97"/>
      <c r="P16" s="97"/>
      <c r="Q16" s="97"/>
    </row>
    <row r="17" spans="1:17" s="98" customFormat="1" ht="34.5" customHeight="1">
      <c r="A17" s="370" t="s">
        <v>38</v>
      </c>
      <c r="B17" s="394" t="s">
        <v>39</v>
      </c>
      <c r="C17" s="394"/>
      <c r="D17" s="371" t="s">
        <v>33</v>
      </c>
      <c r="E17" s="397">
        <v>0.22</v>
      </c>
      <c r="F17" s="395">
        <v>0.28000000000000003</v>
      </c>
      <c r="G17" s="364" t="b">
        <f>E18='[3]Indicadores e Metas'!$F$14</f>
        <v>1</v>
      </c>
      <c r="H17" s="362">
        <f>56998/12/16749</f>
        <v>0.2835890699942285</v>
      </c>
      <c r="I17" s="97"/>
      <c r="J17" s="97"/>
      <c r="K17" s="97"/>
      <c r="L17" s="97"/>
      <c r="M17" s="97"/>
      <c r="N17" s="97"/>
      <c r="O17" s="97"/>
      <c r="P17" s="97"/>
      <c r="Q17" s="97"/>
    </row>
    <row r="18" spans="1:17" s="98" customFormat="1" ht="34.5" customHeight="1">
      <c r="A18" s="370"/>
      <c r="B18" s="396" t="s">
        <v>40</v>
      </c>
      <c r="C18" s="396"/>
      <c r="D18" s="371"/>
      <c r="E18" s="397"/>
      <c r="F18" s="395"/>
      <c r="G18" s="364"/>
      <c r="H18" s="362"/>
      <c r="I18" s="97"/>
      <c r="J18" s="97"/>
      <c r="K18" s="97"/>
      <c r="L18" s="97"/>
      <c r="M18" s="97"/>
      <c r="N18" s="97"/>
      <c r="O18" s="97"/>
      <c r="P18" s="97"/>
      <c r="Q18" s="97"/>
    </row>
    <row r="19" spans="1:17" s="98" customFormat="1" ht="34.5" customHeight="1">
      <c r="A19" s="370" t="s">
        <v>41</v>
      </c>
      <c r="B19" s="325" t="s">
        <v>42</v>
      </c>
      <c r="C19" s="371" t="s">
        <v>26</v>
      </c>
      <c r="D19" s="371" t="s">
        <v>33</v>
      </c>
      <c r="E19" s="373">
        <v>0.5</v>
      </c>
      <c r="F19" s="372">
        <v>0.8</v>
      </c>
      <c r="G19" s="364" t="b">
        <f>E20='[3]Indicadores e Metas'!$F$16</f>
        <v>1</v>
      </c>
      <c r="H19" s="364">
        <f>192/240</f>
        <v>0.8</v>
      </c>
      <c r="I19" s="97"/>
      <c r="J19" s="97"/>
      <c r="K19" s="97"/>
      <c r="L19" s="97"/>
      <c r="M19" s="97"/>
      <c r="N19" s="97"/>
      <c r="O19" s="97"/>
      <c r="P19" s="97"/>
      <c r="Q19" s="97"/>
    </row>
    <row r="20" spans="1:17" s="98" customFormat="1" ht="34.5" customHeight="1">
      <c r="A20" s="370"/>
      <c r="B20" s="326" t="s">
        <v>43</v>
      </c>
      <c r="C20" s="371"/>
      <c r="D20" s="371"/>
      <c r="E20" s="373"/>
      <c r="F20" s="372"/>
      <c r="G20" s="364"/>
      <c r="H20" s="364"/>
      <c r="I20" s="97"/>
      <c r="J20" s="97"/>
      <c r="K20" s="97"/>
      <c r="L20" s="97"/>
      <c r="M20" s="97"/>
      <c r="N20" s="97"/>
      <c r="O20" s="97"/>
      <c r="P20" s="97"/>
      <c r="Q20" s="97"/>
    </row>
    <row r="21" spans="1:17" s="98" customFormat="1" ht="34.5" customHeight="1">
      <c r="A21" s="370" t="s">
        <v>44</v>
      </c>
      <c r="B21" s="325" t="s">
        <v>45</v>
      </c>
      <c r="C21" s="371" t="s">
        <v>26</v>
      </c>
      <c r="D21" s="371" t="s">
        <v>46</v>
      </c>
      <c r="E21" s="373">
        <v>0.2</v>
      </c>
      <c r="F21" s="372">
        <v>0.2</v>
      </c>
      <c r="G21" s="364" t="b">
        <f>E22='[3]Indicadores e Metas'!$F$18</f>
        <v>1</v>
      </c>
      <c r="H21" s="364">
        <f>394/1971</f>
        <v>0.19989852866565194</v>
      </c>
      <c r="I21" s="97"/>
      <c r="J21" s="97"/>
      <c r="K21" s="97"/>
      <c r="L21" s="97"/>
      <c r="M21" s="97"/>
      <c r="N21" s="97"/>
      <c r="O21" s="97"/>
      <c r="P21" s="97"/>
      <c r="Q21" s="97"/>
    </row>
    <row r="22" spans="1:17" s="98" customFormat="1" ht="34.5" customHeight="1">
      <c r="A22" s="370"/>
      <c r="B22" s="326" t="s">
        <v>47</v>
      </c>
      <c r="C22" s="371"/>
      <c r="D22" s="371"/>
      <c r="E22" s="373"/>
      <c r="F22" s="372"/>
      <c r="G22" s="364"/>
      <c r="H22" s="364"/>
      <c r="I22" s="97"/>
      <c r="J22" s="97"/>
      <c r="K22" s="97"/>
      <c r="L22" s="97"/>
      <c r="M22" s="97"/>
      <c r="N22" s="97"/>
      <c r="O22" s="97"/>
      <c r="P22" s="97"/>
      <c r="Q22" s="97"/>
    </row>
    <row r="23" spans="1:17" s="98" customFormat="1" ht="34.5" customHeight="1">
      <c r="A23" s="370" t="s">
        <v>48</v>
      </c>
      <c r="B23" s="325" t="s">
        <v>49</v>
      </c>
      <c r="C23" s="371" t="s">
        <v>26</v>
      </c>
      <c r="D23" s="371" t="s">
        <v>46</v>
      </c>
      <c r="E23" s="373">
        <v>0.9</v>
      </c>
      <c r="F23" s="372">
        <v>0.9</v>
      </c>
      <c r="G23" s="364" t="b">
        <f>E24='[3]Indicadores e Metas'!$F$20</f>
        <v>1</v>
      </c>
      <c r="H23" s="364">
        <f>13/15</f>
        <v>0.8666666666666667</v>
      </c>
      <c r="I23" s="97"/>
      <c r="J23" s="97"/>
      <c r="K23" s="97"/>
      <c r="L23" s="97"/>
      <c r="M23" s="97"/>
      <c r="N23" s="97"/>
      <c r="O23" s="97"/>
      <c r="P23" s="97"/>
      <c r="Q23" s="97"/>
    </row>
    <row r="24" spans="1:17" s="98" customFormat="1" ht="34.5" customHeight="1">
      <c r="A24" s="370"/>
      <c r="B24" s="326" t="s">
        <v>50</v>
      </c>
      <c r="C24" s="371"/>
      <c r="D24" s="371"/>
      <c r="E24" s="373"/>
      <c r="F24" s="372"/>
      <c r="G24" s="364"/>
      <c r="H24" s="364"/>
      <c r="I24" s="97"/>
      <c r="J24" s="97"/>
      <c r="K24" s="97"/>
      <c r="L24" s="97"/>
      <c r="M24" s="97"/>
      <c r="N24" s="97"/>
      <c r="O24" s="97"/>
      <c r="P24" s="97"/>
      <c r="Q24" s="97"/>
    </row>
    <row r="25" spans="1:17" s="98" customFormat="1" ht="34.5" customHeight="1">
      <c r="A25" s="370" t="s">
        <v>51</v>
      </c>
      <c r="B25" s="325" t="s">
        <v>52</v>
      </c>
      <c r="C25" s="371" t="s">
        <v>26</v>
      </c>
      <c r="D25" s="371" t="s">
        <v>53</v>
      </c>
      <c r="E25" s="373">
        <v>0.15</v>
      </c>
      <c r="F25" s="398">
        <v>0.187</v>
      </c>
      <c r="G25" s="364" t="b">
        <f>E26='[3]Indicadores e Metas'!$F$22</f>
        <v>1</v>
      </c>
      <c r="H25" s="364">
        <f>1971/10560</f>
        <v>0.18664772727272727</v>
      </c>
      <c r="I25" s="97"/>
      <c r="J25" s="97"/>
      <c r="K25" s="97"/>
      <c r="L25" s="97"/>
      <c r="M25" s="97"/>
      <c r="N25" s="97"/>
      <c r="O25" s="97"/>
      <c r="P25" s="97"/>
      <c r="Q25" s="97"/>
    </row>
    <row r="26" spans="1:17" s="98" customFormat="1" ht="34.5" customHeight="1">
      <c r="A26" s="370"/>
      <c r="B26" s="326" t="s">
        <v>54</v>
      </c>
      <c r="C26" s="371"/>
      <c r="D26" s="371"/>
      <c r="E26" s="373"/>
      <c r="F26" s="398"/>
      <c r="G26" s="364"/>
      <c r="H26" s="364"/>
      <c r="I26" s="97"/>
      <c r="J26" s="97"/>
      <c r="K26" s="97"/>
      <c r="L26" s="97"/>
      <c r="M26" s="97"/>
      <c r="N26" s="97"/>
      <c r="O26" s="97"/>
      <c r="P26" s="97"/>
      <c r="Q26" s="97"/>
    </row>
    <row r="27" spans="1:17" s="98" customFormat="1" ht="34.5" customHeight="1">
      <c r="A27" s="370" t="s">
        <v>55</v>
      </c>
      <c r="B27" s="325" t="s">
        <v>56</v>
      </c>
      <c r="C27" s="371" t="s">
        <v>26</v>
      </c>
      <c r="D27" s="371" t="s">
        <v>53</v>
      </c>
      <c r="E27" s="373">
        <v>7.0000000000000007E-2</v>
      </c>
      <c r="F27" s="398">
        <v>7.6999999999999999E-2</v>
      </c>
      <c r="G27" s="364" t="b">
        <f>E28='[3]Indicadores e Metas'!$F$24</f>
        <v>1</v>
      </c>
      <c r="H27" s="364">
        <f>3/39</f>
        <v>7.6923076923076927E-2</v>
      </c>
      <c r="I27" s="97"/>
      <c r="J27" s="97"/>
      <c r="K27" s="97"/>
      <c r="L27" s="97"/>
      <c r="M27" s="97"/>
      <c r="N27" s="97"/>
      <c r="O27" s="97"/>
      <c r="P27" s="97"/>
      <c r="Q27" s="97"/>
    </row>
    <row r="28" spans="1:17" s="98" customFormat="1" ht="34.5" customHeight="1">
      <c r="A28" s="370"/>
      <c r="B28" s="326" t="s">
        <v>36</v>
      </c>
      <c r="C28" s="371"/>
      <c r="D28" s="371"/>
      <c r="E28" s="373"/>
      <c r="F28" s="398"/>
      <c r="G28" s="364"/>
      <c r="H28" s="364"/>
      <c r="I28" s="97"/>
      <c r="J28" s="97"/>
      <c r="K28" s="97"/>
      <c r="L28" s="97"/>
      <c r="M28" s="97"/>
      <c r="N28" s="97"/>
      <c r="O28" s="97"/>
      <c r="P28" s="97"/>
      <c r="Q28" s="97"/>
    </row>
    <row r="29" spans="1:17" s="98" customFormat="1" ht="34.5" customHeight="1">
      <c r="A29" s="370" t="s">
        <v>57</v>
      </c>
      <c r="B29" s="325" t="s">
        <v>58</v>
      </c>
      <c r="C29" s="371" t="s">
        <v>26</v>
      </c>
      <c r="D29" s="371" t="s">
        <v>53</v>
      </c>
      <c r="E29" s="373">
        <v>0.108</v>
      </c>
      <c r="F29" s="398">
        <v>0.2</v>
      </c>
      <c r="G29" s="364" t="b">
        <f>E30='[3]Indicadores e Metas'!$F$26</f>
        <v>1</v>
      </c>
      <c r="H29" s="364">
        <f>21/105</f>
        <v>0.2</v>
      </c>
      <c r="I29" s="97"/>
      <c r="J29" s="97"/>
      <c r="K29" s="97"/>
      <c r="L29" s="97"/>
      <c r="M29" s="97"/>
      <c r="N29" s="97"/>
      <c r="O29" s="97"/>
      <c r="P29" s="97"/>
      <c r="Q29" s="97"/>
    </row>
    <row r="30" spans="1:17" s="98" customFormat="1" ht="34.5" customHeight="1">
      <c r="A30" s="370"/>
      <c r="B30" s="326" t="s">
        <v>59</v>
      </c>
      <c r="C30" s="371"/>
      <c r="D30" s="371"/>
      <c r="E30" s="373"/>
      <c r="F30" s="398"/>
      <c r="G30" s="364"/>
      <c r="H30" s="364"/>
      <c r="I30" s="97"/>
      <c r="J30" s="97"/>
      <c r="K30" s="97"/>
      <c r="L30" s="97"/>
      <c r="M30" s="97"/>
      <c r="N30" s="97"/>
      <c r="O30" s="97"/>
      <c r="P30" s="97"/>
      <c r="Q30" s="97"/>
    </row>
    <row r="31" spans="1:17" s="98" customFormat="1" ht="34.5" customHeight="1">
      <c r="A31" s="370" t="s">
        <v>60</v>
      </c>
      <c r="B31" s="325" t="s">
        <v>61</v>
      </c>
      <c r="C31" s="371" t="s">
        <v>26</v>
      </c>
      <c r="D31" s="371" t="s">
        <v>53</v>
      </c>
      <c r="E31" s="373">
        <v>0.75</v>
      </c>
      <c r="F31" s="398">
        <v>0.76200000000000001</v>
      </c>
      <c r="G31" s="364" t="b">
        <f>E32='[3]Indicadores e Metas'!$F$28</f>
        <v>1</v>
      </c>
      <c r="H31" s="364">
        <f>16/21</f>
        <v>0.76190476190476186</v>
      </c>
      <c r="I31" s="97"/>
      <c r="J31" s="97"/>
      <c r="K31" s="97"/>
      <c r="L31" s="97"/>
      <c r="M31" s="97"/>
      <c r="N31" s="97"/>
      <c r="O31" s="97"/>
      <c r="P31" s="97"/>
      <c r="Q31" s="97"/>
    </row>
    <row r="32" spans="1:17" s="98" customFormat="1" ht="34.5" customHeight="1">
      <c r="A32" s="370"/>
      <c r="B32" s="326" t="s">
        <v>62</v>
      </c>
      <c r="C32" s="371"/>
      <c r="D32" s="371"/>
      <c r="E32" s="373"/>
      <c r="F32" s="398"/>
      <c r="G32" s="364"/>
      <c r="H32" s="364"/>
      <c r="I32" s="97"/>
      <c r="J32" s="97"/>
      <c r="K32" s="97"/>
      <c r="L32" s="97"/>
      <c r="M32" s="97"/>
      <c r="N32" s="97"/>
      <c r="O32" s="97"/>
      <c r="P32" s="97"/>
      <c r="Q32" s="97"/>
    </row>
    <row r="33" spans="1:17" s="98" customFormat="1" ht="45" customHeight="1">
      <c r="A33" s="320" t="s">
        <v>63</v>
      </c>
      <c r="B33" s="374" t="s">
        <v>20</v>
      </c>
      <c r="C33" s="374"/>
      <c r="D33" s="321" t="s">
        <v>21</v>
      </c>
      <c r="E33" s="321" t="s">
        <v>22</v>
      </c>
      <c r="F33" s="321" t="s">
        <v>23</v>
      </c>
      <c r="G33" s="126"/>
      <c r="H33" s="126"/>
      <c r="I33" s="97"/>
      <c r="J33" s="97"/>
      <c r="K33" s="97"/>
      <c r="L33" s="97"/>
      <c r="M33" s="97"/>
      <c r="N33" s="97"/>
      <c r="O33" s="97"/>
      <c r="P33" s="97"/>
      <c r="Q33" s="97"/>
    </row>
    <row r="34" spans="1:17" s="98" customFormat="1" ht="34.5" customHeight="1">
      <c r="A34" s="370" t="s">
        <v>64</v>
      </c>
      <c r="B34" s="325" t="s">
        <v>65</v>
      </c>
      <c r="C34" s="371" t="s">
        <v>26</v>
      </c>
      <c r="D34" s="371" t="s">
        <v>66</v>
      </c>
      <c r="E34" s="373">
        <v>1</v>
      </c>
      <c r="F34" s="372">
        <v>1</v>
      </c>
      <c r="G34" s="364" t="b">
        <f>E35='[3]Indicadores e Metas'!$F$31</f>
        <v>1</v>
      </c>
      <c r="H34" s="364">
        <f>35000/35000</f>
        <v>1</v>
      </c>
      <c r="I34" s="97"/>
      <c r="J34" s="97"/>
      <c r="K34" s="97"/>
      <c r="L34" s="97"/>
      <c r="M34" s="97"/>
      <c r="N34" s="97"/>
      <c r="O34" s="97"/>
      <c r="P34" s="97"/>
      <c r="Q34" s="97"/>
    </row>
    <row r="35" spans="1:17" s="98" customFormat="1" ht="34.5" customHeight="1">
      <c r="A35" s="370"/>
      <c r="B35" s="326" t="s">
        <v>67</v>
      </c>
      <c r="C35" s="371"/>
      <c r="D35" s="371"/>
      <c r="E35" s="373"/>
      <c r="F35" s="372"/>
      <c r="G35" s="364"/>
      <c r="H35" s="364"/>
      <c r="I35" s="97"/>
      <c r="J35" s="97"/>
      <c r="K35" s="97"/>
      <c r="L35" s="97"/>
      <c r="M35" s="97"/>
      <c r="N35" s="97"/>
      <c r="O35" s="97"/>
      <c r="P35" s="97"/>
      <c r="Q35" s="97"/>
    </row>
    <row r="36" spans="1:17" s="98" customFormat="1" ht="34.5" customHeight="1">
      <c r="A36" s="370" t="s">
        <v>68</v>
      </c>
      <c r="B36" s="325" t="s">
        <v>69</v>
      </c>
      <c r="C36" s="371" t="s">
        <v>26</v>
      </c>
      <c r="D36" s="371" t="s">
        <v>66</v>
      </c>
      <c r="E36" s="373">
        <v>0.9</v>
      </c>
      <c r="F36" s="372">
        <v>0.9</v>
      </c>
      <c r="G36" s="364" t="b">
        <f>E37='[3]Indicadores e Metas'!$F$33</f>
        <v>1</v>
      </c>
      <c r="H36" s="364">
        <f>2573/2860</f>
        <v>0.89965034965034962</v>
      </c>
      <c r="I36" s="97"/>
      <c r="J36" s="97"/>
      <c r="K36" s="97"/>
      <c r="L36" s="97"/>
      <c r="M36" s="97"/>
      <c r="N36" s="97"/>
      <c r="O36" s="97"/>
      <c r="P36" s="97"/>
      <c r="Q36" s="97"/>
    </row>
    <row r="37" spans="1:17" s="98" customFormat="1" ht="34.5" customHeight="1">
      <c r="A37" s="370"/>
      <c r="B37" s="326" t="s">
        <v>70</v>
      </c>
      <c r="C37" s="371"/>
      <c r="D37" s="371"/>
      <c r="E37" s="373"/>
      <c r="F37" s="372"/>
      <c r="G37" s="364"/>
      <c r="H37" s="364"/>
      <c r="I37" s="97"/>
      <c r="J37" s="97"/>
      <c r="K37" s="97"/>
      <c r="L37" s="97"/>
      <c r="M37" s="97"/>
      <c r="N37" s="97"/>
      <c r="O37" s="97"/>
      <c r="P37" s="97"/>
      <c r="Q37" s="97"/>
    </row>
    <row r="38" spans="1:17" s="98" customFormat="1" ht="34.5" customHeight="1">
      <c r="A38" s="370" t="s">
        <v>71</v>
      </c>
      <c r="B38" s="325" t="s">
        <v>72</v>
      </c>
      <c r="C38" s="371" t="s">
        <v>26</v>
      </c>
      <c r="D38" s="371" t="s">
        <v>66</v>
      </c>
      <c r="E38" s="373" t="s">
        <v>73</v>
      </c>
      <c r="F38" s="372" t="s">
        <v>73</v>
      </c>
      <c r="G38" s="364" t="b">
        <f>F39='[3]Indicadores e Metas'!$F$35</f>
        <v>1</v>
      </c>
      <c r="H38" s="366"/>
      <c r="I38" s="97"/>
      <c r="J38" s="97"/>
      <c r="K38" s="97"/>
      <c r="L38" s="97"/>
      <c r="M38" s="97"/>
      <c r="N38" s="97"/>
      <c r="O38" s="97"/>
      <c r="P38" s="97"/>
      <c r="Q38" s="97"/>
    </row>
    <row r="39" spans="1:17" s="98" customFormat="1" ht="34.5" customHeight="1">
      <c r="A39" s="370"/>
      <c r="B39" s="326" t="s">
        <v>74</v>
      </c>
      <c r="C39" s="371"/>
      <c r="D39" s="371"/>
      <c r="E39" s="373"/>
      <c r="F39" s="372"/>
      <c r="G39" s="364"/>
      <c r="H39" s="366"/>
      <c r="I39" s="97"/>
      <c r="J39" s="97"/>
      <c r="K39" s="97"/>
      <c r="L39" s="97"/>
      <c r="M39" s="97"/>
      <c r="N39" s="97"/>
      <c r="O39" s="97"/>
      <c r="P39" s="97"/>
      <c r="Q39" s="97"/>
    </row>
    <row r="40" spans="1:17" s="98" customFormat="1" ht="45" customHeight="1">
      <c r="A40" s="320" t="s">
        <v>75</v>
      </c>
      <c r="B40" s="374" t="s">
        <v>20</v>
      </c>
      <c r="C40" s="374"/>
      <c r="D40" s="321" t="s">
        <v>21</v>
      </c>
      <c r="E40" s="321" t="s">
        <v>22</v>
      </c>
      <c r="F40" s="321" t="s">
        <v>23</v>
      </c>
      <c r="G40" s="126"/>
      <c r="H40" s="126"/>
      <c r="I40" s="97"/>
      <c r="J40" s="97"/>
      <c r="K40" s="97"/>
      <c r="L40" s="97"/>
      <c r="M40" s="97"/>
      <c r="N40" s="97"/>
      <c r="O40" s="97"/>
      <c r="P40" s="97"/>
      <c r="Q40" s="97"/>
    </row>
    <row r="41" spans="1:17" s="98" customFormat="1" ht="34.5" customHeight="1">
      <c r="A41" s="375" t="s">
        <v>76</v>
      </c>
      <c r="B41" s="327" t="s">
        <v>77</v>
      </c>
      <c r="C41" s="371" t="s">
        <v>26</v>
      </c>
      <c r="D41" s="376" t="s">
        <v>78</v>
      </c>
      <c r="E41" s="373">
        <v>0.7944</v>
      </c>
      <c r="F41" s="372">
        <f>'Anexo 2. Limites Estratégicos'!E18/'Anexo 2. Limites Estratégicos'!E18</f>
        <v>1</v>
      </c>
      <c r="G41" s="364" t="b">
        <f>E42='[3]Indicadores e Metas'!$F$38</f>
        <v>1</v>
      </c>
      <c r="H41" s="364">
        <f>422800/422800</f>
        <v>1</v>
      </c>
      <c r="I41" s="97"/>
      <c r="J41" s="97"/>
      <c r="K41" s="97"/>
      <c r="L41" s="97"/>
      <c r="M41" s="97"/>
      <c r="N41" s="97"/>
      <c r="O41" s="97"/>
      <c r="P41" s="97"/>
      <c r="Q41" s="97"/>
    </row>
    <row r="42" spans="1:17" s="98" customFormat="1" ht="34.5" customHeight="1">
      <c r="A42" s="375"/>
      <c r="B42" s="328" t="s">
        <v>79</v>
      </c>
      <c r="C42" s="371"/>
      <c r="D42" s="376"/>
      <c r="E42" s="373"/>
      <c r="F42" s="372"/>
      <c r="G42" s="364"/>
      <c r="H42" s="364"/>
      <c r="I42" s="97"/>
      <c r="J42" s="97"/>
      <c r="K42" s="97"/>
      <c r="L42" s="97"/>
      <c r="M42" s="97"/>
      <c r="N42" s="97"/>
      <c r="O42" s="97"/>
      <c r="P42" s="97"/>
      <c r="Q42" s="97"/>
    </row>
    <row r="43" spans="1:17" s="98" customFormat="1" ht="34.5" customHeight="1">
      <c r="A43" s="375" t="s">
        <v>80</v>
      </c>
      <c r="B43" s="327" t="s">
        <v>81</v>
      </c>
      <c r="C43" s="371" t="s">
        <v>26</v>
      </c>
      <c r="D43" s="376" t="s">
        <v>46</v>
      </c>
      <c r="E43" s="373">
        <v>1</v>
      </c>
      <c r="F43" s="372">
        <v>1</v>
      </c>
      <c r="G43" s="364" t="b">
        <f>E44='[3]Indicadores e Metas'!$F$40</f>
        <v>1</v>
      </c>
      <c r="H43" s="364">
        <v>1</v>
      </c>
      <c r="I43" s="97"/>
      <c r="J43" s="97"/>
      <c r="K43" s="97"/>
      <c r="L43" s="97"/>
      <c r="M43" s="97"/>
      <c r="N43" s="97"/>
      <c r="O43" s="97"/>
      <c r="P43" s="97"/>
      <c r="Q43" s="97"/>
    </row>
    <row r="44" spans="1:17" s="98" customFormat="1" ht="34.5" customHeight="1">
      <c r="A44" s="375"/>
      <c r="B44" s="328" t="s">
        <v>82</v>
      </c>
      <c r="C44" s="371"/>
      <c r="D44" s="376"/>
      <c r="E44" s="373"/>
      <c r="F44" s="372"/>
      <c r="G44" s="364"/>
      <c r="H44" s="364"/>
      <c r="I44" s="97"/>
      <c r="J44" s="97"/>
      <c r="K44" s="97"/>
      <c r="L44" s="97"/>
      <c r="M44" s="97"/>
      <c r="N44" s="97"/>
      <c r="O44" s="97"/>
      <c r="P44" s="97"/>
      <c r="Q44" s="97"/>
    </row>
    <row r="45" spans="1:17" s="98" customFormat="1" ht="34.5" customHeight="1">
      <c r="A45" s="375" t="s">
        <v>83</v>
      </c>
      <c r="B45" s="377" t="s">
        <v>84</v>
      </c>
      <c r="C45" s="377"/>
      <c r="D45" s="376" t="s">
        <v>46</v>
      </c>
      <c r="E45" s="399">
        <v>8.2100000000000009</v>
      </c>
      <c r="F45" s="378">
        <v>11.03</v>
      </c>
      <c r="G45" s="364" t="b">
        <f>E46='[3]Indicadores e Metas'!$F$42</f>
        <v>1</v>
      </c>
      <c r="H45" s="365"/>
      <c r="I45" s="97"/>
      <c r="J45" s="97"/>
      <c r="K45" s="97"/>
      <c r="L45" s="97"/>
      <c r="M45" s="97"/>
      <c r="N45" s="97"/>
      <c r="O45" s="97"/>
      <c r="P45" s="97"/>
      <c r="Q45" s="97"/>
    </row>
    <row r="46" spans="1:17" s="98" customFormat="1" ht="34.5" customHeight="1">
      <c r="A46" s="375"/>
      <c r="B46" s="379" t="s">
        <v>85</v>
      </c>
      <c r="C46" s="379"/>
      <c r="D46" s="376"/>
      <c r="E46" s="399"/>
      <c r="F46" s="378"/>
      <c r="G46" s="364"/>
      <c r="H46" s="365"/>
      <c r="I46" s="97"/>
      <c r="J46" s="97"/>
      <c r="K46" s="97"/>
      <c r="L46" s="97"/>
      <c r="M46" s="97"/>
      <c r="N46" s="97"/>
      <c r="O46" s="97"/>
      <c r="P46" s="97"/>
      <c r="Q46" s="97"/>
    </row>
    <row r="47" spans="1:17" s="98" customFormat="1" ht="34.5" customHeight="1">
      <c r="A47" s="375" t="s">
        <v>86</v>
      </c>
      <c r="B47" s="327" t="s">
        <v>87</v>
      </c>
      <c r="C47" s="380" t="s">
        <v>26</v>
      </c>
      <c r="D47" s="376" t="s">
        <v>46</v>
      </c>
      <c r="E47" s="373">
        <v>1</v>
      </c>
      <c r="F47" s="372">
        <v>0.95</v>
      </c>
      <c r="G47" s="364" t="b">
        <f>E48='[3]Indicadores e Metas'!$F$44</f>
        <v>1</v>
      </c>
      <c r="H47" s="364">
        <f>171/180</f>
        <v>0.95</v>
      </c>
      <c r="I47" s="97"/>
      <c r="J47" s="97"/>
      <c r="K47" s="97"/>
      <c r="L47" s="97"/>
      <c r="M47" s="97"/>
      <c r="N47" s="97"/>
      <c r="O47" s="97"/>
      <c r="P47" s="97"/>
      <c r="Q47" s="97"/>
    </row>
    <row r="48" spans="1:17" ht="34.5" customHeight="1">
      <c r="A48" s="375"/>
      <c r="B48" s="328" t="s">
        <v>88</v>
      </c>
      <c r="C48" s="380"/>
      <c r="D48" s="376"/>
      <c r="E48" s="373"/>
      <c r="F48" s="372"/>
      <c r="G48" s="364"/>
      <c r="H48" s="364"/>
    </row>
    <row r="49" spans="1:17" s="98" customFormat="1" ht="45" customHeight="1">
      <c r="A49" s="320" t="s">
        <v>89</v>
      </c>
      <c r="B49" s="374" t="s">
        <v>20</v>
      </c>
      <c r="C49" s="374"/>
      <c r="D49" s="321" t="s">
        <v>21</v>
      </c>
      <c r="E49" s="321" t="s">
        <v>22</v>
      </c>
      <c r="F49" s="321" t="s">
        <v>23</v>
      </c>
      <c r="G49" s="126"/>
      <c r="H49" s="126"/>
      <c r="I49" s="97"/>
      <c r="J49" s="97"/>
      <c r="K49" s="97"/>
      <c r="L49" s="97"/>
      <c r="M49" s="97"/>
      <c r="N49" s="97"/>
      <c r="O49" s="97"/>
      <c r="P49" s="97"/>
      <c r="Q49" s="97"/>
    </row>
    <row r="50" spans="1:17" ht="53.25" customHeight="1">
      <c r="A50" s="330" t="s">
        <v>90</v>
      </c>
      <c r="B50" s="400" t="s">
        <v>91</v>
      </c>
      <c r="C50" s="400"/>
      <c r="D50" s="323" t="s">
        <v>27</v>
      </c>
      <c r="E50" s="108">
        <v>10</v>
      </c>
      <c r="F50" s="109">
        <v>10</v>
      </c>
      <c r="G50" s="286" t="b">
        <f>E50='[3]Indicadores e Metas'!$F$46</f>
        <v>1</v>
      </c>
      <c r="H50" s="127"/>
    </row>
    <row r="51" spans="1:17" s="98" customFormat="1" ht="45" customHeight="1">
      <c r="A51" s="320" t="s">
        <v>92</v>
      </c>
      <c r="B51" s="374" t="s">
        <v>20</v>
      </c>
      <c r="C51" s="374"/>
      <c r="D51" s="321" t="s">
        <v>21</v>
      </c>
      <c r="E51" s="321" t="s">
        <v>22</v>
      </c>
      <c r="F51" s="321" t="s">
        <v>23</v>
      </c>
      <c r="G51" s="126"/>
      <c r="H51" s="126"/>
      <c r="I51" s="97"/>
      <c r="J51" s="97"/>
      <c r="K51" s="97"/>
      <c r="L51" s="97"/>
      <c r="M51" s="97"/>
      <c r="N51" s="97"/>
      <c r="O51" s="97"/>
      <c r="P51" s="97"/>
      <c r="Q51" s="97"/>
    </row>
    <row r="52" spans="1:17" ht="34.5" customHeight="1">
      <c r="A52" s="375" t="s">
        <v>93</v>
      </c>
      <c r="B52" s="327" t="s">
        <v>94</v>
      </c>
      <c r="C52" s="380" t="s">
        <v>26</v>
      </c>
      <c r="D52" s="380" t="s">
        <v>27</v>
      </c>
      <c r="E52" s="373">
        <v>0.65</v>
      </c>
      <c r="F52" s="372">
        <v>0.65</v>
      </c>
      <c r="G52" s="364" t="b">
        <f>E53='[3]Indicadores e Metas'!$F$49</f>
        <v>1</v>
      </c>
      <c r="H52" s="364">
        <f>13/20</f>
        <v>0.65</v>
      </c>
    </row>
    <row r="53" spans="1:17" ht="34.5" customHeight="1">
      <c r="A53" s="375"/>
      <c r="B53" s="328" t="s">
        <v>95</v>
      </c>
      <c r="C53" s="380"/>
      <c r="D53" s="380"/>
      <c r="E53" s="373"/>
      <c r="F53" s="372"/>
      <c r="G53" s="364"/>
      <c r="H53" s="364"/>
    </row>
    <row r="54" spans="1:17" ht="34.5" customHeight="1">
      <c r="A54" s="375" t="s">
        <v>96</v>
      </c>
      <c r="B54" s="327" t="s">
        <v>97</v>
      </c>
      <c r="C54" s="380" t="s">
        <v>26</v>
      </c>
      <c r="D54" s="380" t="s">
        <v>27</v>
      </c>
      <c r="E54" s="373">
        <v>0.3</v>
      </c>
      <c r="F54" s="372">
        <v>0.3</v>
      </c>
      <c r="G54" s="364" t="b">
        <f>E55='[3]Indicadores e Metas'!$E$51</f>
        <v>1</v>
      </c>
      <c r="H54" s="364">
        <f>256/853</f>
        <v>0.30011723329425555</v>
      </c>
    </row>
    <row r="55" spans="1:17" ht="34.5" customHeight="1">
      <c r="A55" s="375"/>
      <c r="B55" s="328" t="s">
        <v>28</v>
      </c>
      <c r="C55" s="380"/>
      <c r="D55" s="380"/>
      <c r="E55" s="373"/>
      <c r="F55" s="372"/>
      <c r="G55" s="364"/>
      <c r="H55" s="364"/>
    </row>
    <row r="56" spans="1:17" s="98" customFormat="1" ht="45" customHeight="1">
      <c r="A56" s="320" t="s">
        <v>98</v>
      </c>
      <c r="B56" s="374" t="s">
        <v>20</v>
      </c>
      <c r="C56" s="374"/>
      <c r="D56" s="321" t="s">
        <v>21</v>
      </c>
      <c r="E56" s="321" t="s">
        <v>22</v>
      </c>
      <c r="F56" s="321" t="s">
        <v>23</v>
      </c>
      <c r="G56" s="126"/>
      <c r="H56" s="126"/>
      <c r="I56" s="97"/>
      <c r="J56" s="97"/>
      <c r="K56" s="97"/>
      <c r="L56" s="97"/>
      <c r="M56" s="97"/>
      <c r="N56" s="97"/>
      <c r="O56" s="97"/>
      <c r="P56" s="97"/>
      <c r="Q56" s="97"/>
    </row>
    <row r="57" spans="1:17" s="98" customFormat="1" ht="34.5" customHeight="1">
      <c r="A57" s="322" t="s">
        <v>99</v>
      </c>
      <c r="B57" s="380" t="s">
        <v>100</v>
      </c>
      <c r="C57" s="380"/>
      <c r="D57" s="264" t="s">
        <v>33</v>
      </c>
      <c r="E57" s="110">
        <v>150000</v>
      </c>
      <c r="F57" s="111">
        <v>150000</v>
      </c>
      <c r="G57" s="286" t="b">
        <f>E57='[3]Indicadores e Metas'!$F$53</f>
        <v>1</v>
      </c>
      <c r="H57" s="128"/>
      <c r="I57" s="97"/>
      <c r="J57" s="97"/>
      <c r="K57" s="97"/>
      <c r="L57" s="97"/>
      <c r="M57" s="97"/>
      <c r="N57" s="97"/>
      <c r="O57" s="97"/>
      <c r="P57" s="97"/>
      <c r="Q57" s="97"/>
    </row>
    <row r="58" spans="1:17" s="98" customFormat="1" ht="34.5" customHeight="1">
      <c r="A58" s="375" t="s">
        <v>101</v>
      </c>
      <c r="B58" s="327" t="s">
        <v>102</v>
      </c>
      <c r="C58" s="380" t="s">
        <v>26</v>
      </c>
      <c r="D58" s="380" t="s">
        <v>66</v>
      </c>
      <c r="E58" s="373" t="s">
        <v>73</v>
      </c>
      <c r="F58" s="372">
        <v>1</v>
      </c>
      <c r="G58" s="364" t="b">
        <f>E59='[3]Indicadores e Metas'!$F$55</f>
        <v>1</v>
      </c>
      <c r="H58" s="366"/>
      <c r="I58" s="97"/>
      <c r="J58" s="97"/>
      <c r="K58" s="97"/>
      <c r="L58" s="97"/>
      <c r="M58" s="97"/>
      <c r="N58" s="97"/>
      <c r="O58" s="97"/>
      <c r="P58" s="97"/>
      <c r="Q58" s="97"/>
    </row>
    <row r="59" spans="1:17" s="98" customFormat="1" ht="34.5" customHeight="1">
      <c r="A59" s="375"/>
      <c r="B59" s="328" t="s">
        <v>103</v>
      </c>
      <c r="C59" s="380"/>
      <c r="D59" s="380"/>
      <c r="E59" s="373"/>
      <c r="F59" s="372"/>
      <c r="G59" s="364"/>
      <c r="H59" s="366"/>
      <c r="I59" s="97"/>
      <c r="J59" s="97"/>
      <c r="K59" s="97"/>
      <c r="L59" s="97"/>
      <c r="M59" s="97"/>
      <c r="N59" s="97"/>
      <c r="O59" s="97"/>
      <c r="P59" s="97"/>
      <c r="Q59" s="97"/>
    </row>
    <row r="60" spans="1:17" s="98" customFormat="1" ht="34.5" customHeight="1">
      <c r="A60" s="375" t="s">
        <v>104</v>
      </c>
      <c r="B60" s="327" t="s">
        <v>105</v>
      </c>
      <c r="C60" s="380" t="s">
        <v>26</v>
      </c>
      <c r="D60" s="380" t="s">
        <v>66</v>
      </c>
      <c r="E60" s="373">
        <v>1</v>
      </c>
      <c r="F60" s="372">
        <v>1</v>
      </c>
      <c r="G60" s="364" t="b">
        <f>E61='[3]Indicadores e Metas'!$F$57</f>
        <v>1</v>
      </c>
      <c r="H60" s="366"/>
      <c r="I60" s="97"/>
      <c r="J60" s="97"/>
      <c r="K60" s="97"/>
      <c r="L60" s="97"/>
      <c r="M60" s="97"/>
      <c r="N60" s="97"/>
      <c r="O60" s="97"/>
      <c r="P60" s="97"/>
      <c r="Q60" s="97"/>
    </row>
    <row r="61" spans="1:17" s="98" customFormat="1" ht="34.5" customHeight="1">
      <c r="A61" s="375"/>
      <c r="B61" s="328" t="s">
        <v>106</v>
      </c>
      <c r="C61" s="380"/>
      <c r="D61" s="380"/>
      <c r="E61" s="373"/>
      <c r="F61" s="372"/>
      <c r="G61" s="364"/>
      <c r="H61" s="366"/>
      <c r="I61" s="97"/>
      <c r="J61" s="97"/>
      <c r="K61" s="97"/>
      <c r="L61" s="97"/>
      <c r="M61" s="97"/>
      <c r="N61" s="97"/>
      <c r="O61" s="97"/>
      <c r="P61" s="97"/>
      <c r="Q61" s="97"/>
    </row>
    <row r="62" spans="1:17" s="98" customFormat="1" ht="34.5" customHeight="1">
      <c r="A62" s="322" t="s">
        <v>107</v>
      </c>
      <c r="B62" s="380" t="s">
        <v>108</v>
      </c>
      <c r="C62" s="380"/>
      <c r="D62" s="264" t="s">
        <v>46</v>
      </c>
      <c r="E62" s="110">
        <v>450000</v>
      </c>
      <c r="F62" s="111">
        <v>300000</v>
      </c>
      <c r="G62" s="286" t="b">
        <f>E62='[3]Indicadores e Metas'!$F$58</f>
        <v>1</v>
      </c>
      <c r="H62" s="128"/>
      <c r="I62" s="97"/>
      <c r="J62" s="97"/>
      <c r="K62" s="97"/>
      <c r="L62" s="97"/>
      <c r="M62" s="97"/>
      <c r="N62" s="97"/>
      <c r="O62" s="97"/>
      <c r="P62" s="97"/>
      <c r="Q62" s="97"/>
    </row>
    <row r="63" spans="1:17" s="98" customFormat="1" ht="45" customHeight="1">
      <c r="A63" s="320" t="s">
        <v>109</v>
      </c>
      <c r="B63" s="374" t="s">
        <v>20</v>
      </c>
      <c r="C63" s="374"/>
      <c r="D63" s="321" t="s">
        <v>21</v>
      </c>
      <c r="E63" s="321" t="s">
        <v>22</v>
      </c>
      <c r="F63" s="321" t="s">
        <v>23</v>
      </c>
      <c r="G63" s="126"/>
      <c r="H63" s="126"/>
      <c r="I63" s="97"/>
      <c r="J63" s="97"/>
      <c r="K63" s="97"/>
      <c r="L63" s="97"/>
      <c r="M63" s="97"/>
      <c r="N63" s="97"/>
      <c r="O63" s="97"/>
      <c r="P63" s="97"/>
      <c r="Q63" s="97"/>
    </row>
    <row r="64" spans="1:17" s="98" customFormat="1" ht="34.5" customHeight="1">
      <c r="A64" s="401" t="s">
        <v>110</v>
      </c>
      <c r="B64" s="112" t="s">
        <v>111</v>
      </c>
      <c r="C64" s="380" t="s">
        <v>26</v>
      </c>
      <c r="D64" s="380" t="s">
        <v>27</v>
      </c>
      <c r="E64" s="373" t="s">
        <v>73</v>
      </c>
      <c r="F64" s="372" t="s">
        <v>73</v>
      </c>
      <c r="G64" s="364" t="b">
        <f>E65='[3]Indicadores e Metas'!$F$61</f>
        <v>1</v>
      </c>
      <c r="H64" s="366"/>
      <c r="I64" s="97"/>
      <c r="J64" s="97"/>
      <c r="K64" s="97"/>
      <c r="L64" s="97"/>
      <c r="M64" s="97"/>
      <c r="N64" s="97"/>
      <c r="O64" s="97"/>
      <c r="P64" s="97"/>
      <c r="Q64" s="97"/>
    </row>
    <row r="65" spans="1:17" s="98" customFormat="1" ht="34.5" customHeight="1">
      <c r="A65" s="401"/>
      <c r="B65" s="113" t="s">
        <v>112</v>
      </c>
      <c r="C65" s="380"/>
      <c r="D65" s="380"/>
      <c r="E65" s="373"/>
      <c r="F65" s="372"/>
      <c r="G65" s="364"/>
      <c r="H65" s="366"/>
      <c r="I65" s="97"/>
      <c r="J65" s="97"/>
      <c r="K65" s="97"/>
      <c r="L65" s="97"/>
      <c r="M65" s="97"/>
      <c r="N65" s="97"/>
      <c r="O65" s="97"/>
      <c r="P65" s="97"/>
      <c r="Q65" s="97"/>
    </row>
    <row r="66" spans="1:17" s="98" customFormat="1" ht="34.5" customHeight="1">
      <c r="A66" s="402" t="s">
        <v>113</v>
      </c>
      <c r="B66" s="114" t="s">
        <v>114</v>
      </c>
      <c r="C66" s="380" t="s">
        <v>26</v>
      </c>
      <c r="D66" s="380" t="s">
        <v>27</v>
      </c>
      <c r="E66" s="373">
        <v>0.6</v>
      </c>
      <c r="F66" s="372">
        <v>0.6</v>
      </c>
      <c r="G66" s="364" t="b">
        <f>E67='[3]Indicadores e Metas'!$F$63</f>
        <v>1</v>
      </c>
      <c r="H66" s="364">
        <f>30/50</f>
        <v>0.6</v>
      </c>
      <c r="I66" s="97"/>
      <c r="J66" s="97"/>
      <c r="K66" s="97"/>
      <c r="L66" s="97"/>
      <c r="M66" s="97"/>
      <c r="N66" s="97"/>
      <c r="O66" s="97"/>
      <c r="P66" s="97"/>
      <c r="Q66" s="97"/>
    </row>
    <row r="67" spans="1:17" s="98" customFormat="1" ht="34.5" customHeight="1">
      <c r="A67" s="402"/>
      <c r="B67" s="115" t="s">
        <v>115</v>
      </c>
      <c r="C67" s="380"/>
      <c r="D67" s="380"/>
      <c r="E67" s="373"/>
      <c r="F67" s="372"/>
      <c r="G67" s="364"/>
      <c r="H67" s="364"/>
      <c r="I67" s="97"/>
      <c r="J67" s="97"/>
      <c r="K67" s="97"/>
      <c r="L67" s="97"/>
      <c r="M67" s="97"/>
      <c r="N67" s="97"/>
      <c r="O67" s="97"/>
      <c r="P67" s="97"/>
      <c r="Q67" s="97"/>
    </row>
    <row r="68" spans="1:17" s="98" customFormat="1" ht="34.5" customHeight="1">
      <c r="A68" s="375" t="s">
        <v>116</v>
      </c>
      <c r="B68" s="377" t="s">
        <v>117</v>
      </c>
      <c r="C68" s="377"/>
      <c r="D68" s="380" t="s">
        <v>46</v>
      </c>
      <c r="E68" s="397">
        <v>0.49</v>
      </c>
      <c r="F68" s="403">
        <v>0.49</v>
      </c>
      <c r="G68" s="362" t="b">
        <f>E69='[3]Indicadores e Metas'!$F$65</f>
        <v>1</v>
      </c>
      <c r="H68" s="362">
        <f>537/1095</f>
        <v>0.49041095890410957</v>
      </c>
      <c r="I68" s="97"/>
      <c r="J68" s="97"/>
      <c r="K68" s="97"/>
      <c r="L68" s="97"/>
      <c r="M68" s="97"/>
      <c r="N68" s="97"/>
      <c r="O68" s="97"/>
      <c r="P68" s="97"/>
      <c r="Q68" s="97"/>
    </row>
    <row r="69" spans="1:17" s="98" customFormat="1" ht="34.5" customHeight="1">
      <c r="A69" s="375"/>
      <c r="B69" s="379" t="s">
        <v>118</v>
      </c>
      <c r="C69" s="379"/>
      <c r="D69" s="380"/>
      <c r="E69" s="397"/>
      <c r="F69" s="403"/>
      <c r="G69" s="362"/>
      <c r="H69" s="362"/>
      <c r="I69" s="97"/>
      <c r="J69" s="97"/>
      <c r="K69" s="97"/>
      <c r="L69" s="97"/>
      <c r="M69" s="97"/>
      <c r="N69" s="97"/>
      <c r="O69" s="97"/>
      <c r="P69" s="97"/>
      <c r="Q69" s="97"/>
    </row>
    <row r="70" spans="1:17" s="98" customFormat="1" ht="45" customHeight="1">
      <c r="A70" s="320" t="s">
        <v>119</v>
      </c>
      <c r="B70" s="374" t="s">
        <v>20</v>
      </c>
      <c r="C70" s="374"/>
      <c r="D70" s="321" t="s">
        <v>21</v>
      </c>
      <c r="E70" s="321" t="s">
        <v>22</v>
      </c>
      <c r="F70" s="321" t="s">
        <v>23</v>
      </c>
      <c r="G70" s="126"/>
      <c r="H70" s="126"/>
      <c r="I70" s="97"/>
      <c r="J70" s="97"/>
      <c r="K70" s="97"/>
      <c r="L70" s="97"/>
      <c r="M70" s="97"/>
      <c r="N70" s="97"/>
      <c r="O70" s="97"/>
      <c r="P70" s="97"/>
      <c r="Q70" s="97"/>
    </row>
    <row r="71" spans="1:17" s="98" customFormat="1" ht="34.5" customHeight="1">
      <c r="A71" s="375" t="s">
        <v>120</v>
      </c>
      <c r="B71" s="377" t="s">
        <v>121</v>
      </c>
      <c r="C71" s="377"/>
      <c r="D71" s="380" t="s">
        <v>66</v>
      </c>
      <c r="E71" s="397">
        <v>2.0499999999999998</v>
      </c>
      <c r="F71" s="395">
        <v>2.7</v>
      </c>
      <c r="G71" s="362" t="b">
        <f>E72='[3]Indicadores e Metas'!$F$68</f>
        <v>1</v>
      </c>
      <c r="H71" s="363">
        <f>56998/(21411923/1000)</f>
        <v>2.6619748258948999</v>
      </c>
      <c r="I71" s="97"/>
      <c r="J71" s="97"/>
      <c r="K71" s="97"/>
      <c r="L71" s="97"/>
      <c r="M71" s="97"/>
      <c r="N71" s="97"/>
      <c r="O71" s="97"/>
      <c r="P71" s="97"/>
      <c r="Q71" s="97"/>
    </row>
    <row r="72" spans="1:17" s="98" customFormat="1" ht="34.5" customHeight="1">
      <c r="A72" s="375"/>
      <c r="B72" s="379" t="s">
        <v>122</v>
      </c>
      <c r="C72" s="379"/>
      <c r="D72" s="380"/>
      <c r="E72" s="397"/>
      <c r="F72" s="395"/>
      <c r="G72" s="362"/>
      <c r="H72" s="363"/>
      <c r="I72" s="97"/>
      <c r="J72" s="97"/>
      <c r="K72" s="97"/>
      <c r="L72" s="97"/>
      <c r="M72" s="97"/>
      <c r="N72" s="97"/>
      <c r="O72" s="97"/>
      <c r="P72" s="97"/>
      <c r="Q72" s="97"/>
    </row>
    <row r="73" spans="1:17" s="98" customFormat="1" ht="34.5" customHeight="1">
      <c r="A73" s="375" t="s">
        <v>123</v>
      </c>
      <c r="B73" s="327" t="s">
        <v>124</v>
      </c>
      <c r="C73" s="380" t="s">
        <v>26</v>
      </c>
      <c r="D73" s="380" t="s">
        <v>66</v>
      </c>
      <c r="E73" s="373">
        <v>0.03</v>
      </c>
      <c r="F73" s="372">
        <v>0.03</v>
      </c>
      <c r="G73" s="364" t="b">
        <f>E74='[3]Indicadores e Metas'!$F$70</f>
        <v>1</v>
      </c>
      <c r="H73" s="364">
        <f>1710/56998</f>
        <v>3.0001052668514685E-2</v>
      </c>
      <c r="I73" s="97"/>
      <c r="J73" s="97"/>
      <c r="K73" s="97"/>
      <c r="L73" s="97"/>
      <c r="M73" s="97"/>
      <c r="N73" s="97"/>
      <c r="O73" s="97"/>
      <c r="P73" s="97"/>
      <c r="Q73" s="97"/>
    </row>
    <row r="74" spans="1:17" ht="34.5" customHeight="1">
      <c r="A74" s="375"/>
      <c r="B74" s="328" t="s">
        <v>125</v>
      </c>
      <c r="C74" s="380"/>
      <c r="D74" s="380"/>
      <c r="E74" s="373"/>
      <c r="F74" s="372"/>
      <c r="G74" s="364"/>
      <c r="H74" s="364"/>
    </row>
    <row r="75" spans="1:17" s="98" customFormat="1" ht="34.5" customHeight="1">
      <c r="A75" s="375" t="s">
        <v>126</v>
      </c>
      <c r="B75" s="327" t="s">
        <v>127</v>
      </c>
      <c r="C75" s="380" t="s">
        <v>26</v>
      </c>
      <c r="D75" s="380" t="s">
        <v>66</v>
      </c>
      <c r="E75" s="373">
        <v>0</v>
      </c>
      <c r="F75" s="372">
        <v>0</v>
      </c>
      <c r="G75" s="364" t="b">
        <f>E76='[3]Indicadores e Metas'!$E$72</f>
        <v>1</v>
      </c>
      <c r="H75" s="364">
        <f>0/56998</f>
        <v>0</v>
      </c>
    </row>
    <row r="76" spans="1:17" s="98" customFormat="1" ht="34.5" customHeight="1">
      <c r="A76" s="375"/>
      <c r="B76" s="328" t="s">
        <v>125</v>
      </c>
      <c r="C76" s="380"/>
      <c r="D76" s="380"/>
      <c r="E76" s="373"/>
      <c r="F76" s="372"/>
      <c r="G76" s="364"/>
      <c r="H76" s="364"/>
    </row>
    <row r="77" spans="1:17" s="98" customFormat="1" ht="45" customHeight="1">
      <c r="A77" s="320" t="s">
        <v>128</v>
      </c>
      <c r="B77" s="374" t="s">
        <v>20</v>
      </c>
      <c r="C77" s="374"/>
      <c r="D77" s="321" t="s">
        <v>21</v>
      </c>
      <c r="E77" s="321" t="s">
        <v>22</v>
      </c>
      <c r="F77" s="321" t="s">
        <v>23</v>
      </c>
      <c r="G77" s="126"/>
      <c r="H77" s="126"/>
      <c r="I77" s="97"/>
      <c r="J77" s="97"/>
      <c r="K77" s="97"/>
      <c r="L77" s="97"/>
      <c r="M77" s="97"/>
      <c r="N77" s="97"/>
      <c r="O77" s="97"/>
      <c r="P77" s="97"/>
      <c r="Q77" s="97"/>
    </row>
    <row r="78" spans="1:17" ht="34.5" customHeight="1">
      <c r="A78" s="375" t="s">
        <v>129</v>
      </c>
      <c r="B78" s="377" t="s">
        <v>130</v>
      </c>
      <c r="C78" s="377"/>
      <c r="D78" s="380" t="s">
        <v>131</v>
      </c>
      <c r="E78" s="399">
        <v>632.79999999999995</v>
      </c>
      <c r="F78" s="378">
        <f>12047133.76/17458</f>
        <v>690.06379654026807</v>
      </c>
      <c r="G78" s="368" t="b">
        <f>E79='[3]Indicadores e Metas'!$F$75</f>
        <v>1</v>
      </c>
      <c r="H78" s="368">
        <f>'Anexo 1. Fontes e Aplicações'!D8/'Diretrizes - Resumo'!AK19</f>
        <v>690.06379654026819</v>
      </c>
    </row>
    <row r="79" spans="1:17" ht="34.5" customHeight="1">
      <c r="A79" s="375"/>
      <c r="B79" s="379" t="s">
        <v>132</v>
      </c>
      <c r="C79" s="379"/>
      <c r="D79" s="380"/>
      <c r="E79" s="399"/>
      <c r="F79" s="378"/>
      <c r="G79" s="368"/>
      <c r="H79" s="368"/>
    </row>
    <row r="80" spans="1:17" ht="34.5" customHeight="1">
      <c r="A80" s="375" t="s">
        <v>133</v>
      </c>
      <c r="B80" s="327" t="s">
        <v>134</v>
      </c>
      <c r="C80" s="380" t="s">
        <v>26</v>
      </c>
      <c r="D80" s="380" t="s">
        <v>135</v>
      </c>
      <c r="E80" s="373">
        <v>0.54</v>
      </c>
      <c r="F80" s="372">
        <f>6851395.68/12047133.76</f>
        <v>0.56871583037856133</v>
      </c>
      <c r="G80" s="364" t="b">
        <f>E81='[3]Indicadores e Metas'!$F$77</f>
        <v>1</v>
      </c>
      <c r="H80" s="364">
        <f>'Anexo 2. Limites Estratégicos'!O5/'Anexo 2. Limites Estratégicos'!O7</f>
        <v>0.56871583028385564</v>
      </c>
    </row>
    <row r="81" spans="1:17" ht="34.5" customHeight="1">
      <c r="A81" s="375"/>
      <c r="B81" s="328" t="s">
        <v>130</v>
      </c>
      <c r="C81" s="380"/>
      <c r="D81" s="380"/>
      <c r="E81" s="373"/>
      <c r="F81" s="372"/>
      <c r="G81" s="364"/>
      <c r="H81" s="364"/>
    </row>
    <row r="82" spans="1:17" ht="34.5" customHeight="1">
      <c r="A82" s="375" t="s">
        <v>136</v>
      </c>
      <c r="B82" s="377" t="s">
        <v>137</v>
      </c>
      <c r="C82" s="377"/>
      <c r="D82" s="380" t="s">
        <v>46</v>
      </c>
      <c r="E82" s="397">
        <v>18.920000000000002</v>
      </c>
      <c r="F82" s="403">
        <f>17260298.16/809690.5</f>
        <v>21.317155332809264</v>
      </c>
      <c r="G82" s="362" t="b">
        <f>E83='[3]Indicadores e Metas'!$F$79</f>
        <v>1</v>
      </c>
      <c r="H82" s="362">
        <f>17260298.16/809690.5</f>
        <v>21.317155332809264</v>
      </c>
    </row>
    <row r="83" spans="1:17" ht="34.5" customHeight="1">
      <c r="A83" s="375"/>
      <c r="B83" s="379" t="s">
        <v>138</v>
      </c>
      <c r="C83" s="379"/>
      <c r="D83" s="380"/>
      <c r="E83" s="397"/>
      <c r="F83" s="403"/>
      <c r="G83" s="362"/>
      <c r="H83" s="362"/>
    </row>
    <row r="84" spans="1:17" ht="34.5" customHeight="1">
      <c r="A84" s="375" t="s">
        <v>139</v>
      </c>
      <c r="B84" s="327" t="s">
        <v>140</v>
      </c>
      <c r="C84" s="380" t="s">
        <v>26</v>
      </c>
      <c r="D84" s="380" t="s">
        <v>53</v>
      </c>
      <c r="E84" s="373">
        <v>0.26200000000000001</v>
      </c>
      <c r="F84" s="372">
        <f>4133/16749</f>
        <v>0.24676100065675563</v>
      </c>
      <c r="G84" s="364" t="b">
        <f>E85='[3]Indicadores e Metas'!$F$81</f>
        <v>1</v>
      </c>
      <c r="H84" s="364">
        <f>'Diretrizes - Resumo'!AK21/100</f>
        <v>0.24676100065675569</v>
      </c>
    </row>
    <row r="85" spans="1:17" s="98" customFormat="1" ht="34.5" customHeight="1">
      <c r="A85" s="375"/>
      <c r="B85" s="328" t="s">
        <v>141</v>
      </c>
      <c r="C85" s="380"/>
      <c r="D85" s="380"/>
      <c r="E85" s="373"/>
      <c r="F85" s="372"/>
      <c r="G85" s="364"/>
      <c r="H85" s="364"/>
      <c r="I85" s="97"/>
      <c r="J85" s="97"/>
      <c r="K85" s="97"/>
      <c r="L85" s="97"/>
      <c r="M85" s="97"/>
      <c r="N85" s="97"/>
      <c r="O85" s="97"/>
      <c r="P85" s="97"/>
      <c r="Q85" s="97"/>
    </row>
    <row r="86" spans="1:17" s="98" customFormat="1" ht="34.5" customHeight="1">
      <c r="A86" s="375" t="s">
        <v>142</v>
      </c>
      <c r="B86" s="327" t="s">
        <v>143</v>
      </c>
      <c r="C86" s="380" t="s">
        <v>26</v>
      </c>
      <c r="D86" s="380" t="s">
        <v>53</v>
      </c>
      <c r="E86" s="373">
        <v>0.39789999999999998</v>
      </c>
      <c r="F86" s="372">
        <f>752/1892</f>
        <v>0.39746300211416491</v>
      </c>
      <c r="G86" s="364" t="b">
        <f>E87='[3]Indicadores e Metas'!$F$83</f>
        <v>1</v>
      </c>
      <c r="H86" s="364">
        <f>'Diretrizes - Resumo'!AK23/100</f>
        <v>0.3974630021141648</v>
      </c>
      <c r="I86" s="97"/>
      <c r="J86" s="97"/>
      <c r="K86" s="97"/>
      <c r="L86" s="97"/>
      <c r="M86" s="97"/>
      <c r="N86" s="97"/>
      <c r="O86" s="97"/>
      <c r="P86" s="97"/>
      <c r="Q86" s="97"/>
    </row>
    <row r="87" spans="1:17" s="98" customFormat="1" ht="34.5" customHeight="1">
      <c r="A87" s="375"/>
      <c r="B87" s="328" t="s">
        <v>144</v>
      </c>
      <c r="C87" s="380"/>
      <c r="D87" s="380"/>
      <c r="E87" s="373"/>
      <c r="F87" s="372"/>
      <c r="G87" s="364"/>
      <c r="H87" s="364"/>
      <c r="I87" s="97"/>
      <c r="J87" s="97"/>
      <c r="K87" s="97"/>
      <c r="L87" s="97"/>
      <c r="M87" s="97"/>
      <c r="N87" s="97"/>
      <c r="O87" s="97"/>
      <c r="P87" s="97"/>
      <c r="Q87" s="97"/>
    </row>
    <row r="88" spans="1:17" s="98" customFormat="1" ht="45" customHeight="1">
      <c r="A88" s="320" t="s">
        <v>145</v>
      </c>
      <c r="B88" s="374" t="s">
        <v>20</v>
      </c>
      <c r="C88" s="374"/>
      <c r="D88" s="321" t="s">
        <v>21</v>
      </c>
      <c r="E88" s="321" t="s">
        <v>22</v>
      </c>
      <c r="F88" s="321" t="s">
        <v>23</v>
      </c>
      <c r="G88" s="126"/>
      <c r="H88" s="126"/>
      <c r="I88" s="97"/>
      <c r="J88" s="97"/>
      <c r="K88" s="97"/>
      <c r="L88" s="97"/>
      <c r="M88" s="97"/>
      <c r="N88" s="97"/>
      <c r="O88" s="97"/>
      <c r="P88" s="97"/>
      <c r="Q88" s="97"/>
    </row>
    <row r="89" spans="1:17" s="98" customFormat="1" ht="34.5" customHeight="1">
      <c r="A89" s="375" t="s">
        <v>146</v>
      </c>
      <c r="B89" s="327" t="s">
        <v>147</v>
      </c>
      <c r="C89" s="380" t="s">
        <v>26</v>
      </c>
      <c r="D89" s="380" t="s">
        <v>135</v>
      </c>
      <c r="E89" s="373">
        <v>0.93</v>
      </c>
      <c r="F89" s="372">
        <v>0.95</v>
      </c>
      <c r="G89" s="364" t="b">
        <f>E90='[3]Indicadores e Metas'!$F$86</f>
        <v>1</v>
      </c>
      <c r="H89" s="364">
        <f>64/67</f>
        <v>0.95522388059701491</v>
      </c>
      <c r="I89" s="97"/>
      <c r="J89" s="97"/>
      <c r="K89" s="97"/>
      <c r="L89" s="97"/>
      <c r="M89" s="97"/>
      <c r="N89" s="97"/>
      <c r="O89" s="97"/>
      <c r="P89" s="97"/>
      <c r="Q89" s="97"/>
    </row>
    <row r="90" spans="1:17" s="98" customFormat="1" ht="34.5" customHeight="1">
      <c r="A90" s="375"/>
      <c r="B90" s="328" t="s">
        <v>148</v>
      </c>
      <c r="C90" s="380"/>
      <c r="D90" s="380"/>
      <c r="E90" s="373"/>
      <c r="F90" s="372"/>
      <c r="G90" s="364"/>
      <c r="H90" s="364"/>
      <c r="I90" s="97"/>
      <c r="J90" s="97"/>
      <c r="K90" s="97"/>
      <c r="L90" s="97"/>
      <c r="M90" s="97"/>
      <c r="N90" s="97"/>
      <c r="O90" s="97"/>
      <c r="P90" s="97"/>
      <c r="Q90" s="97"/>
    </row>
    <row r="91" spans="1:17" s="98" customFormat="1" ht="34.5" customHeight="1">
      <c r="A91" s="375" t="s">
        <v>149</v>
      </c>
      <c r="B91" s="327" t="s">
        <v>150</v>
      </c>
      <c r="C91" s="380" t="s">
        <v>26</v>
      </c>
      <c r="D91" s="380" t="s">
        <v>135</v>
      </c>
      <c r="E91" s="373">
        <v>0.45</v>
      </c>
      <c r="F91" s="372">
        <v>0.45</v>
      </c>
      <c r="G91" s="364" t="b">
        <f>E92='[3]Indicadores e Metas'!$F$88</f>
        <v>1</v>
      </c>
      <c r="H91" s="364">
        <f>30/67</f>
        <v>0.44776119402985076</v>
      </c>
      <c r="I91" s="97"/>
      <c r="J91" s="97"/>
      <c r="K91" s="97"/>
      <c r="L91" s="97"/>
      <c r="M91" s="97"/>
      <c r="N91" s="97"/>
      <c r="O91" s="97"/>
      <c r="P91" s="97"/>
      <c r="Q91" s="97"/>
    </row>
    <row r="92" spans="1:17" s="98" customFormat="1" ht="34.5" customHeight="1">
      <c r="A92" s="375"/>
      <c r="B92" s="328" t="s">
        <v>148</v>
      </c>
      <c r="C92" s="380"/>
      <c r="D92" s="380"/>
      <c r="E92" s="373"/>
      <c r="F92" s="372"/>
      <c r="G92" s="364"/>
      <c r="H92" s="364"/>
      <c r="I92" s="97"/>
      <c r="J92" s="97"/>
      <c r="K92" s="97"/>
      <c r="L92" s="97"/>
      <c r="M92" s="97"/>
      <c r="N92" s="97"/>
      <c r="O92" s="97"/>
      <c r="P92" s="97"/>
      <c r="Q92" s="97"/>
    </row>
    <row r="93" spans="1:17" s="98" customFormat="1" ht="34.5" customHeight="1">
      <c r="A93" s="375" t="s">
        <v>151</v>
      </c>
      <c r="B93" s="327" t="s">
        <v>152</v>
      </c>
      <c r="C93" s="380" t="s">
        <v>26</v>
      </c>
      <c r="D93" s="380" t="s">
        <v>135</v>
      </c>
      <c r="E93" s="373">
        <v>0.05</v>
      </c>
      <c r="F93" s="372">
        <v>0.05</v>
      </c>
      <c r="G93" s="364" t="b">
        <f>E94='[3]Indicadores e Metas'!$F$90</f>
        <v>1</v>
      </c>
      <c r="H93" s="364">
        <f>3/67</f>
        <v>4.4776119402985072E-2</v>
      </c>
      <c r="I93" s="97"/>
      <c r="J93" s="97"/>
      <c r="K93" s="97"/>
      <c r="L93" s="97"/>
      <c r="M93" s="97"/>
      <c r="N93" s="97"/>
      <c r="O93" s="97"/>
      <c r="P93" s="97"/>
      <c r="Q93" s="97"/>
    </row>
    <row r="94" spans="1:17" s="98" customFormat="1" ht="34.5" customHeight="1">
      <c r="A94" s="375"/>
      <c r="B94" s="328" t="s">
        <v>148</v>
      </c>
      <c r="C94" s="380"/>
      <c r="D94" s="380"/>
      <c r="E94" s="373"/>
      <c r="F94" s="372"/>
      <c r="G94" s="364"/>
      <c r="H94" s="364"/>
      <c r="I94" s="97"/>
      <c r="J94" s="97"/>
      <c r="K94" s="97"/>
      <c r="L94" s="97"/>
      <c r="M94" s="97"/>
      <c r="N94" s="97"/>
      <c r="O94" s="97"/>
      <c r="P94" s="97"/>
      <c r="Q94" s="97"/>
    </row>
    <row r="95" spans="1:17" s="98" customFormat="1" ht="45" customHeight="1">
      <c r="A95" s="320" t="s">
        <v>153</v>
      </c>
      <c r="B95" s="374" t="s">
        <v>20</v>
      </c>
      <c r="C95" s="374"/>
      <c r="D95" s="321" t="s">
        <v>21</v>
      </c>
      <c r="E95" s="321" t="s">
        <v>22</v>
      </c>
      <c r="F95" s="321" t="s">
        <v>23</v>
      </c>
      <c r="G95" s="126"/>
      <c r="H95" s="126"/>
      <c r="I95" s="97"/>
      <c r="J95" s="97"/>
      <c r="K95" s="97"/>
      <c r="L95" s="97"/>
      <c r="M95" s="97"/>
      <c r="N95" s="97"/>
      <c r="O95" s="97"/>
      <c r="P95" s="97"/>
      <c r="Q95" s="97"/>
    </row>
    <row r="96" spans="1:17" s="98" customFormat="1" ht="34.5" customHeight="1">
      <c r="A96" s="375" t="s">
        <v>154</v>
      </c>
      <c r="B96" s="377" t="s">
        <v>155</v>
      </c>
      <c r="C96" s="377"/>
      <c r="D96" s="380" t="s">
        <v>27</v>
      </c>
      <c r="E96" s="397">
        <v>4</v>
      </c>
      <c r="F96" s="403"/>
      <c r="G96" s="362" t="b">
        <f>E97='[3]Indicadores e Metas'!$F$93</f>
        <v>1</v>
      </c>
      <c r="H96" s="367"/>
      <c r="I96" s="97"/>
      <c r="J96" s="97"/>
      <c r="K96" s="97"/>
      <c r="L96" s="97"/>
      <c r="M96" s="97"/>
      <c r="N96" s="97"/>
      <c r="O96" s="97"/>
      <c r="P96" s="97"/>
      <c r="Q96" s="97"/>
    </row>
    <row r="97" spans="1:17" s="98" customFormat="1" ht="34.5" customHeight="1">
      <c r="A97" s="375"/>
      <c r="B97" s="379" t="s">
        <v>156</v>
      </c>
      <c r="C97" s="379"/>
      <c r="D97" s="380"/>
      <c r="E97" s="397"/>
      <c r="F97" s="403"/>
      <c r="G97" s="362"/>
      <c r="H97" s="367"/>
      <c r="I97" s="97"/>
      <c r="J97" s="97"/>
      <c r="K97" s="97"/>
      <c r="L97" s="97"/>
      <c r="M97" s="97"/>
      <c r="N97" s="97"/>
      <c r="O97" s="97"/>
      <c r="P97" s="97"/>
      <c r="Q97" s="97"/>
    </row>
    <row r="98" spans="1:17" s="98" customFormat="1" ht="45" customHeight="1">
      <c r="A98" s="320" t="s">
        <v>157</v>
      </c>
      <c r="B98" s="374" t="s">
        <v>20</v>
      </c>
      <c r="C98" s="374"/>
      <c r="D98" s="321" t="s">
        <v>21</v>
      </c>
      <c r="E98" s="321" t="s">
        <v>22</v>
      </c>
      <c r="F98" s="321" t="s">
        <v>23</v>
      </c>
      <c r="G98" s="126"/>
      <c r="H98" s="126"/>
      <c r="I98" s="97"/>
      <c r="J98" s="97"/>
      <c r="K98" s="97"/>
      <c r="L98" s="97"/>
      <c r="M98" s="97"/>
      <c r="N98" s="97"/>
      <c r="O98" s="97"/>
      <c r="P98" s="97"/>
      <c r="Q98" s="97"/>
    </row>
    <row r="99" spans="1:17" s="98" customFormat="1" ht="34.5" customHeight="1">
      <c r="A99" s="322" t="s">
        <v>158</v>
      </c>
      <c r="B99" s="380" t="s">
        <v>159</v>
      </c>
      <c r="C99" s="380"/>
      <c r="D99" s="264" t="s">
        <v>27</v>
      </c>
      <c r="E99" s="116">
        <v>5</v>
      </c>
      <c r="F99" s="117">
        <v>7</v>
      </c>
      <c r="G99" s="285" t="b">
        <f>E99='[3]Indicadores e Metas'!$F$95</f>
        <v>1</v>
      </c>
      <c r="H99" s="129"/>
      <c r="I99" s="97"/>
      <c r="J99" s="97"/>
      <c r="K99" s="97"/>
      <c r="L99" s="97"/>
      <c r="M99" s="97"/>
      <c r="N99" s="97"/>
      <c r="O99" s="97"/>
      <c r="P99" s="97"/>
      <c r="Q99" s="97"/>
    </row>
    <row r="100" spans="1:17" s="98" customFormat="1" ht="34.5" customHeight="1">
      <c r="A100" s="375" t="s">
        <v>160</v>
      </c>
      <c r="B100" s="327" t="s">
        <v>161</v>
      </c>
      <c r="C100" s="376" t="s">
        <v>26</v>
      </c>
      <c r="D100" s="380" t="s">
        <v>46</v>
      </c>
      <c r="E100" s="373">
        <v>0.6</v>
      </c>
      <c r="F100" s="372">
        <v>0.6</v>
      </c>
      <c r="G100" s="364" t="b">
        <f>E101='[3]Indicadores e Metas'!$F$97</f>
        <v>1</v>
      </c>
      <c r="H100" s="364">
        <f>172/287</f>
        <v>0.5993031358885017</v>
      </c>
      <c r="I100" s="97"/>
      <c r="J100" s="97"/>
      <c r="K100" s="97"/>
      <c r="L100" s="97"/>
      <c r="M100" s="97"/>
      <c r="N100" s="97"/>
      <c r="O100" s="97"/>
      <c r="P100" s="97"/>
      <c r="Q100" s="97"/>
    </row>
    <row r="101" spans="1:17" s="98" customFormat="1" ht="34.5" customHeight="1">
      <c r="A101" s="375"/>
      <c r="B101" s="328" t="s">
        <v>162</v>
      </c>
      <c r="C101" s="376"/>
      <c r="D101" s="380"/>
      <c r="E101" s="373"/>
      <c r="F101" s="372"/>
      <c r="G101" s="364"/>
      <c r="H101" s="364"/>
      <c r="I101" s="97"/>
      <c r="J101" s="97"/>
      <c r="K101" s="97"/>
      <c r="L101" s="97"/>
      <c r="M101" s="97"/>
      <c r="N101" s="97"/>
      <c r="O101" s="97"/>
      <c r="P101" s="97"/>
      <c r="Q101" s="97"/>
    </row>
    <row r="102" spans="1:17" s="98" customFormat="1" ht="45" customHeight="1">
      <c r="A102" s="320" t="s">
        <v>163</v>
      </c>
      <c r="B102" s="374" t="s">
        <v>20</v>
      </c>
      <c r="C102" s="374"/>
      <c r="D102" s="321" t="s">
        <v>21</v>
      </c>
      <c r="E102" s="321" t="s">
        <v>22</v>
      </c>
      <c r="F102" s="321" t="s">
        <v>23</v>
      </c>
      <c r="G102" s="126"/>
      <c r="H102" s="126"/>
      <c r="I102" s="97"/>
      <c r="J102" s="97"/>
      <c r="K102" s="97"/>
      <c r="L102" s="97"/>
      <c r="M102" s="97"/>
      <c r="N102" s="97"/>
      <c r="O102" s="97"/>
      <c r="P102" s="97"/>
      <c r="Q102" s="97"/>
    </row>
    <row r="103" spans="1:17" s="98" customFormat="1" ht="34.5" customHeight="1">
      <c r="A103" s="375" t="s">
        <v>164</v>
      </c>
      <c r="B103" s="327" t="s">
        <v>165</v>
      </c>
      <c r="C103" s="376" t="s">
        <v>26</v>
      </c>
      <c r="D103" s="380" t="s">
        <v>46</v>
      </c>
      <c r="E103" s="373">
        <v>0.8</v>
      </c>
      <c r="F103" s="372">
        <v>0.9</v>
      </c>
      <c r="G103" s="364" t="b">
        <f>E104='[3]Indicadores e Metas'!$F$100</f>
        <v>1</v>
      </c>
      <c r="H103" s="364">
        <f>36/40</f>
        <v>0.9</v>
      </c>
      <c r="I103" s="97"/>
      <c r="J103" s="97"/>
      <c r="K103" s="97"/>
      <c r="L103" s="97"/>
      <c r="M103" s="97"/>
      <c r="N103" s="97"/>
      <c r="O103" s="97"/>
      <c r="P103" s="97"/>
      <c r="Q103" s="97"/>
    </row>
    <row r="104" spans="1:17" ht="34.5" customHeight="1">
      <c r="A104" s="375"/>
      <c r="B104" s="118" t="s">
        <v>166</v>
      </c>
      <c r="C104" s="376"/>
      <c r="D104" s="380"/>
      <c r="E104" s="373"/>
      <c r="F104" s="372"/>
      <c r="G104" s="364"/>
      <c r="H104" s="364"/>
    </row>
    <row r="105" spans="1:17" ht="34.5" customHeight="1">
      <c r="A105" s="375" t="s">
        <v>167</v>
      </c>
      <c r="B105" s="327" t="s">
        <v>168</v>
      </c>
      <c r="C105" s="376" t="s">
        <v>26</v>
      </c>
      <c r="D105" s="380" t="s">
        <v>135</v>
      </c>
      <c r="E105" s="373">
        <v>0.7</v>
      </c>
      <c r="F105" s="372">
        <v>0.7</v>
      </c>
      <c r="G105" s="364" t="b">
        <f>E106='[3]Indicadores e Metas'!$F$102</f>
        <v>1</v>
      </c>
      <c r="H105" s="364">
        <f>2000/2860</f>
        <v>0.69930069930069927</v>
      </c>
    </row>
    <row r="106" spans="1:17" ht="34.5" customHeight="1">
      <c r="A106" s="375"/>
      <c r="B106" s="118" t="s">
        <v>169</v>
      </c>
      <c r="C106" s="376"/>
      <c r="D106" s="380"/>
      <c r="E106" s="373"/>
      <c r="F106" s="372"/>
      <c r="G106" s="364"/>
      <c r="H106" s="364"/>
    </row>
    <row r="107" spans="1:17" ht="21.75" hidden="1" customHeight="1"/>
    <row r="108" spans="1:17" hidden="1">
      <c r="A108" s="369" t="s">
        <v>170</v>
      </c>
      <c r="B108" s="369"/>
      <c r="C108" s="369"/>
      <c r="D108" s="369"/>
      <c r="E108" s="369"/>
      <c r="F108" s="369"/>
    </row>
    <row r="109" spans="1:17" ht="9.75" hidden="1" customHeight="1">
      <c r="A109" s="381" t="s">
        <v>171</v>
      </c>
      <c r="B109" s="382"/>
      <c r="C109" s="382"/>
      <c r="D109" s="382"/>
      <c r="E109" s="382"/>
      <c r="F109" s="382"/>
    </row>
    <row r="111" spans="1:17" hidden="1">
      <c r="A111" s="123" t="s">
        <v>172</v>
      </c>
    </row>
    <row r="112" spans="1:17" hidden="1">
      <c r="A112" s="124"/>
    </row>
    <row r="113" spans="1:1" hidden="1">
      <c r="A113" s="124"/>
    </row>
    <row r="114" spans="1:1" hidden="1">
      <c r="A114" s="124"/>
    </row>
    <row r="115" spans="1:1" hidden="1">
      <c r="A115" s="124"/>
    </row>
    <row r="116" spans="1:1" hidden="1">
      <c r="A116" s="124"/>
    </row>
    <row r="117" spans="1:1" hidden="1">
      <c r="A117" s="124"/>
    </row>
    <row r="118" spans="1:1" hidden="1">
      <c r="A118" s="124"/>
    </row>
    <row r="119" spans="1:1" hidden="1">
      <c r="A119" s="124"/>
    </row>
    <row r="120" spans="1:1" hidden="1">
      <c r="A120" s="124"/>
    </row>
    <row r="121" spans="1:1" hidden="1">
      <c r="A121" s="124"/>
    </row>
    <row r="122" spans="1:1" hidden="1">
      <c r="A122" s="124"/>
    </row>
    <row r="123" spans="1:1" hidden="1">
      <c r="A123" s="124"/>
    </row>
    <row r="124" spans="1:1" hidden="1">
      <c r="A124" s="124"/>
    </row>
    <row r="125" spans="1:1" hidden="1">
      <c r="A125" s="124"/>
    </row>
    <row r="126" spans="1:1" hidden="1">
      <c r="A126" s="124"/>
    </row>
    <row r="127" spans="1:1" hidden="1">
      <c r="A127" s="124"/>
    </row>
  </sheetData>
  <protectedRanges>
    <protectedRange algorithmName="SHA-512" hashValue="oBu0U8UHWW1M9CSBiI+2smTKBuiu7zBMJPASzxaVW3/YfTocFsZXqoNbgPAUiXKweXnE/VLNBYi0YQjO9aRFIA==" saltValue="Uwn4xh4BFhDBBJp6oLNp+A==" spinCount="100000" sqref="A5:B5 H4 H8:H1048576 G4:G1048576 G1:H2" name="Indicadores"/>
  </protectedRanges>
  <mergeCells count="313">
    <mergeCell ref="E96:E97"/>
    <mergeCell ref="E100:E101"/>
    <mergeCell ref="E103:E104"/>
    <mergeCell ref="E105:E106"/>
    <mergeCell ref="E68:E69"/>
    <mergeCell ref="E71:E72"/>
    <mergeCell ref="E73:E74"/>
    <mergeCell ref="E75:E76"/>
    <mergeCell ref="E78:E79"/>
    <mergeCell ref="E80:E81"/>
    <mergeCell ref="A1:F1"/>
    <mergeCell ref="A2:F2"/>
    <mergeCell ref="A3:F3"/>
    <mergeCell ref="E8:E9"/>
    <mergeCell ref="E13:E14"/>
    <mergeCell ref="E15:E16"/>
    <mergeCell ref="B102:C102"/>
    <mergeCell ref="A103:A104"/>
    <mergeCell ref="C103:C104"/>
    <mergeCell ref="D103:D104"/>
    <mergeCell ref="F103:F104"/>
    <mergeCell ref="B95:C95"/>
    <mergeCell ref="A96:A97"/>
    <mergeCell ref="B96:C96"/>
    <mergeCell ref="D96:D97"/>
    <mergeCell ref="F96:F97"/>
    <mergeCell ref="B97:C97"/>
    <mergeCell ref="A91:A92"/>
    <mergeCell ref="C91:C92"/>
    <mergeCell ref="D91:D92"/>
    <mergeCell ref="F91:F92"/>
    <mergeCell ref="F93:F94"/>
    <mergeCell ref="A93:A94"/>
    <mergeCell ref="C93:C94"/>
    <mergeCell ref="A105:A106"/>
    <mergeCell ref="C105:C106"/>
    <mergeCell ref="D105:D106"/>
    <mergeCell ref="F105:F106"/>
    <mergeCell ref="B98:C98"/>
    <mergeCell ref="B99:C99"/>
    <mergeCell ref="A100:A101"/>
    <mergeCell ref="C100:C101"/>
    <mergeCell ref="D100:D101"/>
    <mergeCell ref="F100:F101"/>
    <mergeCell ref="D93:D94"/>
    <mergeCell ref="E91:E92"/>
    <mergeCell ref="B88:C88"/>
    <mergeCell ref="A89:A90"/>
    <mergeCell ref="C89:C90"/>
    <mergeCell ref="D89:D90"/>
    <mergeCell ref="F89:F90"/>
    <mergeCell ref="E89:E90"/>
    <mergeCell ref="A84:A85"/>
    <mergeCell ref="C84:C85"/>
    <mergeCell ref="D84:D85"/>
    <mergeCell ref="F84:F85"/>
    <mergeCell ref="A86:A87"/>
    <mergeCell ref="C86:C87"/>
    <mergeCell ref="D86:D87"/>
    <mergeCell ref="F86:F87"/>
    <mergeCell ref="E84:E85"/>
    <mergeCell ref="E86:E87"/>
    <mergeCell ref="E93:E94"/>
    <mergeCell ref="A80:A81"/>
    <mergeCell ref="C80:C81"/>
    <mergeCell ref="D80:D81"/>
    <mergeCell ref="F80:F81"/>
    <mergeCell ref="A82:A83"/>
    <mergeCell ref="B82:C82"/>
    <mergeCell ref="D82:D83"/>
    <mergeCell ref="F82:F83"/>
    <mergeCell ref="B83:C83"/>
    <mergeCell ref="E82:E83"/>
    <mergeCell ref="B77:C77"/>
    <mergeCell ref="A78:A79"/>
    <mergeCell ref="B78:C78"/>
    <mergeCell ref="D78:D79"/>
    <mergeCell ref="F78:F79"/>
    <mergeCell ref="B79:C79"/>
    <mergeCell ref="A73:A74"/>
    <mergeCell ref="C73:C74"/>
    <mergeCell ref="D73:D74"/>
    <mergeCell ref="F73:F74"/>
    <mergeCell ref="A75:A76"/>
    <mergeCell ref="C75:C76"/>
    <mergeCell ref="D75:D76"/>
    <mergeCell ref="F75:F76"/>
    <mergeCell ref="B70:C70"/>
    <mergeCell ref="A71:A72"/>
    <mergeCell ref="B71:C71"/>
    <mergeCell ref="D71:D72"/>
    <mergeCell ref="F71:F72"/>
    <mergeCell ref="B72:C72"/>
    <mergeCell ref="A66:A67"/>
    <mergeCell ref="C66:C67"/>
    <mergeCell ref="D66:D67"/>
    <mergeCell ref="F66:F67"/>
    <mergeCell ref="A68:A69"/>
    <mergeCell ref="B68:C68"/>
    <mergeCell ref="D68:D69"/>
    <mergeCell ref="F68:F69"/>
    <mergeCell ref="B69:C69"/>
    <mergeCell ref="E66:E67"/>
    <mergeCell ref="B62:C62"/>
    <mergeCell ref="B63:C63"/>
    <mergeCell ref="A64:A65"/>
    <mergeCell ref="C64:C65"/>
    <mergeCell ref="D64:D65"/>
    <mergeCell ref="F64:F65"/>
    <mergeCell ref="E64:E65"/>
    <mergeCell ref="B57:C57"/>
    <mergeCell ref="A58:A59"/>
    <mergeCell ref="C58:C59"/>
    <mergeCell ref="D58:D59"/>
    <mergeCell ref="F58:F59"/>
    <mergeCell ref="A60:A61"/>
    <mergeCell ref="C60:C61"/>
    <mergeCell ref="D60:D61"/>
    <mergeCell ref="F60:F61"/>
    <mergeCell ref="E58:E59"/>
    <mergeCell ref="E60:E61"/>
    <mergeCell ref="B56:C56"/>
    <mergeCell ref="B49:C49"/>
    <mergeCell ref="B50:C50"/>
    <mergeCell ref="B51:C51"/>
    <mergeCell ref="A52:A53"/>
    <mergeCell ref="C52:C53"/>
    <mergeCell ref="D52:D53"/>
    <mergeCell ref="E52:E53"/>
    <mergeCell ref="E54:E55"/>
    <mergeCell ref="D47:D48"/>
    <mergeCell ref="F47:F48"/>
    <mergeCell ref="E47:E48"/>
    <mergeCell ref="E45:E46"/>
    <mergeCell ref="F52:F53"/>
    <mergeCell ref="A54:A55"/>
    <mergeCell ref="C54:C55"/>
    <mergeCell ref="D54:D55"/>
    <mergeCell ref="F54:F55"/>
    <mergeCell ref="A29:A30"/>
    <mergeCell ref="C29:C30"/>
    <mergeCell ref="D29:D30"/>
    <mergeCell ref="F29:F30"/>
    <mergeCell ref="E27:E28"/>
    <mergeCell ref="E29:E30"/>
    <mergeCell ref="A36:A37"/>
    <mergeCell ref="C36:C37"/>
    <mergeCell ref="D36:D37"/>
    <mergeCell ref="F36:F37"/>
    <mergeCell ref="A31:A32"/>
    <mergeCell ref="C31:C32"/>
    <mergeCell ref="D31:D32"/>
    <mergeCell ref="F31:F32"/>
    <mergeCell ref="B33:C33"/>
    <mergeCell ref="A34:A35"/>
    <mergeCell ref="C34:C35"/>
    <mergeCell ref="D34:D35"/>
    <mergeCell ref="F34:F35"/>
    <mergeCell ref="E31:E32"/>
    <mergeCell ref="E34:E35"/>
    <mergeCell ref="E36:E37"/>
    <mergeCell ref="A25:A26"/>
    <mergeCell ref="C25:C26"/>
    <mergeCell ref="D25:D26"/>
    <mergeCell ref="F25:F26"/>
    <mergeCell ref="E23:E24"/>
    <mergeCell ref="E25:E26"/>
    <mergeCell ref="A27:A28"/>
    <mergeCell ref="C27:C28"/>
    <mergeCell ref="D27:D28"/>
    <mergeCell ref="F27:F28"/>
    <mergeCell ref="A21:A22"/>
    <mergeCell ref="C21:C22"/>
    <mergeCell ref="D21:D22"/>
    <mergeCell ref="F21:F22"/>
    <mergeCell ref="E19:E20"/>
    <mergeCell ref="E21:E22"/>
    <mergeCell ref="A23:A24"/>
    <mergeCell ref="C23:C24"/>
    <mergeCell ref="D23:D24"/>
    <mergeCell ref="F23:F24"/>
    <mergeCell ref="A17:A18"/>
    <mergeCell ref="B17:C17"/>
    <mergeCell ref="D17:D18"/>
    <mergeCell ref="F17:F18"/>
    <mergeCell ref="B18:C18"/>
    <mergeCell ref="E17:E18"/>
    <mergeCell ref="A19:A20"/>
    <mergeCell ref="C19:C20"/>
    <mergeCell ref="D19:D20"/>
    <mergeCell ref="F19:F20"/>
    <mergeCell ref="D13:D14"/>
    <mergeCell ref="F13:F14"/>
    <mergeCell ref="A6:F6"/>
    <mergeCell ref="B7:C7"/>
    <mergeCell ref="A8:A9"/>
    <mergeCell ref="C8:C9"/>
    <mergeCell ref="D8:D9"/>
    <mergeCell ref="F8:F9"/>
    <mergeCell ref="A15:A16"/>
    <mergeCell ref="C15:C16"/>
    <mergeCell ref="D15:D16"/>
    <mergeCell ref="F15:F16"/>
    <mergeCell ref="A109:F109"/>
    <mergeCell ref="G8:G9"/>
    <mergeCell ref="H8:H9"/>
    <mergeCell ref="G13:G14"/>
    <mergeCell ref="H13:H14"/>
    <mergeCell ref="G15:G16"/>
    <mergeCell ref="H15:H16"/>
    <mergeCell ref="G17:G18"/>
    <mergeCell ref="H17:H18"/>
    <mergeCell ref="G19:G20"/>
    <mergeCell ref="H19:H20"/>
    <mergeCell ref="G21:G22"/>
    <mergeCell ref="H21:H22"/>
    <mergeCell ref="G23:G24"/>
    <mergeCell ref="H23:H24"/>
    <mergeCell ref="G25:G26"/>
    <mergeCell ref="H25:H26"/>
    <mergeCell ref="G27:G28"/>
    <mergeCell ref="H27:H28"/>
    <mergeCell ref="G29:G30"/>
    <mergeCell ref="A11:F11"/>
    <mergeCell ref="B12:C12"/>
    <mergeCell ref="A13:A14"/>
    <mergeCell ref="C13:C14"/>
    <mergeCell ref="A108:F108"/>
    <mergeCell ref="A38:A39"/>
    <mergeCell ref="C38:C39"/>
    <mergeCell ref="D38:D39"/>
    <mergeCell ref="F38:F39"/>
    <mergeCell ref="E38:E39"/>
    <mergeCell ref="B40:C40"/>
    <mergeCell ref="A41:A42"/>
    <mergeCell ref="C41:C42"/>
    <mergeCell ref="D41:D42"/>
    <mergeCell ref="F41:F42"/>
    <mergeCell ref="A43:A44"/>
    <mergeCell ref="C43:C44"/>
    <mergeCell ref="D43:D44"/>
    <mergeCell ref="F43:F44"/>
    <mergeCell ref="E41:E42"/>
    <mergeCell ref="E43:E44"/>
    <mergeCell ref="A45:A46"/>
    <mergeCell ref="B45:C45"/>
    <mergeCell ref="D45:D46"/>
    <mergeCell ref="F45:F46"/>
    <mergeCell ref="B46:C46"/>
    <mergeCell ref="A47:A48"/>
    <mergeCell ref="C47:C48"/>
    <mergeCell ref="G73:G74"/>
    <mergeCell ref="H73:H74"/>
    <mergeCell ref="G75:G76"/>
    <mergeCell ref="H75:H76"/>
    <mergeCell ref="G78:G79"/>
    <mergeCell ref="H78:H79"/>
    <mergeCell ref="G54:G55"/>
    <mergeCell ref="H54:H55"/>
    <mergeCell ref="G58:G59"/>
    <mergeCell ref="H58:H59"/>
    <mergeCell ref="G60:G61"/>
    <mergeCell ref="H60:H61"/>
    <mergeCell ref="G64:G65"/>
    <mergeCell ref="H64:H65"/>
    <mergeCell ref="G66:G67"/>
    <mergeCell ref="H66:H67"/>
    <mergeCell ref="G80:G81"/>
    <mergeCell ref="H80:H81"/>
    <mergeCell ref="G82:G83"/>
    <mergeCell ref="H82:H83"/>
    <mergeCell ref="G84:G85"/>
    <mergeCell ref="H84:H85"/>
    <mergeCell ref="G86:G87"/>
    <mergeCell ref="H86:H87"/>
    <mergeCell ref="G89:G90"/>
    <mergeCell ref="H89:H90"/>
    <mergeCell ref="G105:G106"/>
    <mergeCell ref="H105:H106"/>
    <mergeCell ref="G91:G92"/>
    <mergeCell ref="H91:H92"/>
    <mergeCell ref="G93:G94"/>
    <mergeCell ref="H93:H94"/>
    <mergeCell ref="G96:G97"/>
    <mergeCell ref="H96:H97"/>
    <mergeCell ref="G100:G101"/>
    <mergeCell ref="H100:H101"/>
    <mergeCell ref="G103:G104"/>
    <mergeCell ref="H103:H104"/>
    <mergeCell ref="B5:F5"/>
    <mergeCell ref="G68:G69"/>
    <mergeCell ref="H68:H69"/>
    <mergeCell ref="G71:G72"/>
    <mergeCell ref="H71:H72"/>
    <mergeCell ref="G41:G42"/>
    <mergeCell ref="H41:H42"/>
    <mergeCell ref="G43:G44"/>
    <mergeCell ref="H43:H44"/>
    <mergeCell ref="G45:G46"/>
    <mergeCell ref="H45:H46"/>
    <mergeCell ref="G47:G48"/>
    <mergeCell ref="H47:H48"/>
    <mergeCell ref="G52:G53"/>
    <mergeCell ref="H52:H53"/>
    <mergeCell ref="H29:H30"/>
    <mergeCell ref="G31:G32"/>
    <mergeCell ref="H31:H32"/>
    <mergeCell ref="G34:G35"/>
    <mergeCell ref="H34:H35"/>
    <mergeCell ref="G36:G37"/>
    <mergeCell ref="H36:H37"/>
    <mergeCell ref="G38:G39"/>
    <mergeCell ref="H38:H39"/>
  </mergeCells>
  <phoneticPr fontId="15" type="noConversion"/>
  <pageMargins left="0.511811024" right="0.511811024" top="0.78740157499999996" bottom="0.78740157499999996" header="0.31496062000000002" footer="0.31496062000000002"/>
  <pageSetup paperSize="9" scale="18" orientation="portrait" r:id="rId1"/>
  <rowBreaks count="2" manualBreakCount="2">
    <brk id="62" max="4" man="1"/>
    <brk id="76" max="4" man="1"/>
  </rowBreaks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200-000000000000}">
          <x14:formula1>
            <xm:f>'Validação de dados'!$D$1:$D$16</xm:f>
          </x14:formula1>
          <xm:sqref>A112:A127</xm:sqref>
        </x14:dataValidation>
        <x14:dataValidation type="list" allowBlank="1" showInputMessage="1" showErrorMessage="1" xr:uid="{00000000-0002-0000-0200-000001000000}">
          <x14:formula1>
            <xm:f>'Validação de dados'!$G$1:$G$28</xm:f>
          </x14:formula1>
          <xm:sqref>B5:F5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Plan5">
    <tabColor rgb="FF2A5664"/>
    <pageSetUpPr fitToPage="1"/>
  </sheetPr>
  <dimension ref="A1:XFC52"/>
  <sheetViews>
    <sheetView showGridLines="0" tabSelected="1" topLeftCell="J2" zoomScale="70" zoomScaleNormal="70" zoomScaleSheetLayoutView="80" workbookViewId="0">
      <selection activeCell="K8" sqref="K8"/>
    </sheetView>
  </sheetViews>
  <sheetFormatPr defaultColWidth="0" defaultRowHeight="26.25" zeroHeight="1"/>
  <cols>
    <col min="1" max="1" width="29.85546875" style="122" bestFit="1" customWidth="1"/>
    <col min="2" max="2" width="13.85546875" style="122" customWidth="1"/>
    <col min="3" max="3" width="41.7109375" style="122" customWidth="1"/>
    <col min="4" max="4" width="46.5703125" style="122" customWidth="1"/>
    <col min="5" max="5" width="57" style="122" customWidth="1"/>
    <col min="6" max="6" width="31.42578125" style="122" customWidth="1"/>
    <col min="7" max="7" width="41.42578125" style="122" customWidth="1"/>
    <col min="8" max="11" width="20" style="122" customWidth="1"/>
    <col min="12" max="12" width="15.5703125" style="122" customWidth="1"/>
    <col min="13" max="13" width="9.140625" style="121" hidden="1"/>
    <col min="14" max="20" width="9.140625" style="122" hidden="1"/>
    <col min="21" max="21" width="9.140625" style="310" hidden="1"/>
    <col min="22" max="31" width="9.140625" style="122" hidden="1"/>
    <col min="32" max="16383" width="9.140625" style="144" hidden="1"/>
    <col min="16384" max="16384" width="0.140625" style="144" customWidth="1"/>
  </cols>
  <sheetData>
    <row r="1" spans="1:37" hidden="1">
      <c r="A1" s="407" t="s">
        <v>173</v>
      </c>
      <c r="B1" s="407"/>
      <c r="C1" s="407"/>
      <c r="D1" s="407"/>
      <c r="E1" s="407"/>
      <c r="F1" s="405"/>
      <c r="G1" s="405"/>
      <c r="H1" s="405"/>
      <c r="I1" s="405"/>
      <c r="J1" s="405"/>
      <c r="K1" s="407"/>
      <c r="L1" s="407"/>
    </row>
    <row r="2" spans="1:37" s="219" customFormat="1">
      <c r="A2" s="369" t="str">
        <f>'Indicadores e Metas'!A2</f>
        <v>CAU/MG</v>
      </c>
      <c r="B2" s="369"/>
      <c r="C2" s="369"/>
      <c r="D2" s="369"/>
      <c r="E2" s="369"/>
      <c r="F2" s="369"/>
      <c r="G2" s="369"/>
      <c r="H2" s="369"/>
      <c r="I2" s="369"/>
      <c r="J2" s="369"/>
      <c r="K2" s="369"/>
      <c r="L2" s="369"/>
      <c r="M2" s="141"/>
      <c r="N2" s="218"/>
      <c r="O2" s="218"/>
      <c r="P2" s="218"/>
      <c r="Q2" s="218"/>
      <c r="R2" s="218"/>
      <c r="S2" s="218"/>
      <c r="T2" s="218"/>
      <c r="U2" s="311"/>
      <c r="V2" s="218"/>
      <c r="W2" s="218"/>
      <c r="X2" s="218"/>
      <c r="Y2" s="218"/>
      <c r="Z2" s="218"/>
      <c r="AA2" s="218"/>
      <c r="AB2" s="218"/>
      <c r="AC2" s="218"/>
      <c r="AD2" s="218"/>
      <c r="AE2" s="218"/>
    </row>
    <row r="3" spans="1:37" s="219" customFormat="1">
      <c r="A3" s="369" t="s">
        <v>174</v>
      </c>
      <c r="B3" s="369"/>
      <c r="C3" s="369"/>
      <c r="D3" s="369"/>
      <c r="E3" s="369"/>
      <c r="F3" s="369"/>
      <c r="G3" s="369"/>
      <c r="H3" s="369"/>
      <c r="I3" s="369"/>
      <c r="J3" s="369"/>
      <c r="K3" s="369"/>
      <c r="L3" s="369"/>
      <c r="M3" s="141"/>
      <c r="N3" s="218"/>
      <c r="O3" s="218"/>
      <c r="P3" s="218"/>
      <c r="Q3" s="218"/>
      <c r="R3" s="218"/>
      <c r="S3" s="218"/>
      <c r="T3" s="218"/>
      <c r="U3" s="311"/>
      <c r="V3" s="218"/>
      <c r="W3" s="218"/>
      <c r="X3" s="218"/>
      <c r="Y3" s="218"/>
      <c r="Z3" s="218"/>
      <c r="AA3" s="218"/>
      <c r="AB3" s="218"/>
      <c r="AC3" s="218"/>
      <c r="AD3" s="218"/>
      <c r="AE3" s="218"/>
    </row>
    <row r="4" spans="1:37" s="167" customFormat="1">
      <c r="A4" s="220"/>
      <c r="B4" s="220"/>
      <c r="C4" s="278"/>
      <c r="D4" s="220"/>
      <c r="E4" s="220"/>
      <c r="F4" s="220"/>
      <c r="G4" s="220"/>
      <c r="H4" s="220"/>
      <c r="I4" s="220"/>
      <c r="J4" s="220"/>
      <c r="K4" s="278"/>
      <c r="L4" s="220"/>
      <c r="M4" s="99"/>
      <c r="N4" s="101"/>
      <c r="O4" s="101"/>
      <c r="P4" s="101"/>
      <c r="Q4" s="101"/>
      <c r="R4" s="101"/>
      <c r="S4" s="101"/>
      <c r="T4" s="101"/>
      <c r="U4" s="312"/>
      <c r="V4" s="101"/>
      <c r="W4" s="101"/>
      <c r="X4" s="101"/>
      <c r="Y4" s="101"/>
      <c r="Z4" s="101"/>
      <c r="AA4" s="101"/>
      <c r="AB4" s="101"/>
      <c r="AC4" s="101"/>
      <c r="AD4" s="101"/>
      <c r="AE4" s="101"/>
    </row>
    <row r="5" spans="1:37" s="219" customFormat="1">
      <c r="A5" s="413" t="s">
        <v>175</v>
      </c>
      <c r="B5" s="413"/>
      <c r="C5" s="413"/>
      <c r="D5" s="413"/>
      <c r="E5" s="413"/>
      <c r="F5" s="413"/>
      <c r="G5" s="413"/>
      <c r="H5" s="413"/>
      <c r="I5" s="413"/>
      <c r="J5" s="413"/>
      <c r="K5" s="413"/>
      <c r="L5" s="413"/>
      <c r="M5" s="141"/>
      <c r="N5" s="218"/>
      <c r="O5" s="218"/>
      <c r="P5" s="218"/>
      <c r="Q5" s="218"/>
      <c r="R5" s="218"/>
      <c r="S5" s="218"/>
      <c r="T5" s="218"/>
      <c r="U5" s="311"/>
      <c r="V5" s="218"/>
      <c r="W5" s="298"/>
      <c r="X5" s="225"/>
      <c r="Y5" s="225"/>
      <c r="Z5" s="225"/>
      <c r="AA5" s="225"/>
      <c r="AB5" s="225"/>
      <c r="AC5" s="218"/>
      <c r="AD5" s="218"/>
      <c r="AE5" s="218"/>
    </row>
    <row r="6" spans="1:37" s="219" customFormat="1">
      <c r="A6" s="411" t="s">
        <v>176</v>
      </c>
      <c r="B6" s="409" t="s">
        <v>177</v>
      </c>
      <c r="C6" s="409" t="s">
        <v>178</v>
      </c>
      <c r="D6" s="409" t="s">
        <v>179</v>
      </c>
      <c r="E6" s="409" t="s">
        <v>180</v>
      </c>
      <c r="F6" s="409" t="s">
        <v>181</v>
      </c>
      <c r="G6" s="408" t="s">
        <v>182</v>
      </c>
      <c r="H6" s="409" t="s">
        <v>183</v>
      </c>
      <c r="I6" s="408" t="s">
        <v>184</v>
      </c>
      <c r="J6" s="408" t="s">
        <v>185</v>
      </c>
      <c r="K6" s="410" t="s">
        <v>186</v>
      </c>
      <c r="L6" s="410"/>
      <c r="M6" s="141"/>
      <c r="N6" s="218"/>
      <c r="O6" s="218"/>
      <c r="P6" s="218"/>
      <c r="Q6" s="218"/>
      <c r="R6" s="218"/>
      <c r="S6" s="218"/>
      <c r="T6" s="218"/>
      <c r="U6" s="311"/>
      <c r="V6" s="298"/>
      <c r="W6" s="225"/>
      <c r="X6" s="225"/>
      <c r="Y6" s="225"/>
      <c r="Z6" s="225"/>
      <c r="AA6" s="225"/>
      <c r="AB6" s="225"/>
      <c r="AC6" s="225"/>
      <c r="AD6" s="225"/>
      <c r="AE6" s="225"/>
      <c r="AF6" s="225"/>
      <c r="AG6" s="224"/>
      <c r="AH6" s="224"/>
      <c r="AI6" s="224"/>
      <c r="AJ6" s="224"/>
      <c r="AK6" s="224"/>
    </row>
    <row r="7" spans="1:37" s="219" customFormat="1" ht="31.5">
      <c r="A7" s="412"/>
      <c r="B7" s="410"/>
      <c r="C7" s="410"/>
      <c r="D7" s="410"/>
      <c r="E7" s="410"/>
      <c r="F7" s="410"/>
      <c r="G7" s="409"/>
      <c r="H7" s="410"/>
      <c r="I7" s="409"/>
      <c r="J7" s="409"/>
      <c r="K7" s="329" t="s">
        <v>187</v>
      </c>
      <c r="L7" s="329" t="s">
        <v>188</v>
      </c>
      <c r="M7" s="141"/>
      <c r="N7" s="218"/>
      <c r="O7" s="218"/>
      <c r="P7" s="218"/>
      <c r="Q7" s="218"/>
      <c r="R7" s="218"/>
      <c r="S7" s="218"/>
      <c r="T7" s="218"/>
      <c r="U7" s="311"/>
      <c r="V7" s="298"/>
      <c r="W7" s="225"/>
      <c r="X7" s="225"/>
      <c r="Y7" s="225"/>
      <c r="Z7" s="225"/>
      <c r="AA7" s="225"/>
      <c r="AB7" s="225"/>
      <c r="AC7" s="225"/>
      <c r="AD7" s="225"/>
      <c r="AE7" s="225"/>
      <c r="AF7" s="225"/>
      <c r="AG7" s="224"/>
      <c r="AH7" s="224"/>
      <c r="AI7" s="224"/>
      <c r="AJ7" s="224"/>
      <c r="AK7" s="224"/>
    </row>
    <row r="8" spans="1:37" s="219" customFormat="1" ht="94.5">
      <c r="A8" s="226" t="s">
        <v>189</v>
      </c>
      <c r="B8" s="227" t="s">
        <v>190</v>
      </c>
      <c r="C8" s="228" t="s">
        <v>191</v>
      </c>
      <c r="D8" s="242" t="s">
        <v>192</v>
      </c>
      <c r="E8" s="228" t="s">
        <v>193</v>
      </c>
      <c r="F8" s="228" t="s">
        <v>194</v>
      </c>
      <c r="G8" s="229" t="s">
        <v>195</v>
      </c>
      <c r="H8" s="229">
        <v>92000</v>
      </c>
      <c r="I8" s="229">
        <v>68480</v>
      </c>
      <c r="J8" s="9"/>
      <c r="K8" s="261">
        <f>I8-H8</f>
        <v>-23520</v>
      </c>
      <c r="L8" s="282">
        <f>IFERROR(K8/H8*100,)</f>
        <v>-25.565217391304344</v>
      </c>
      <c r="M8" s="288" t="b">
        <f>A8=[3]FORM.2!$A$11</f>
        <v>1</v>
      </c>
      <c r="N8" s="289" t="b">
        <f>B8=[3]FORM.2!$B$11</f>
        <v>1</v>
      </c>
      <c r="O8" s="289" t="b">
        <f>C8=[3]FORM.2!$E$11</f>
        <v>1</v>
      </c>
      <c r="P8" s="299" t="b">
        <f>D8=[3]FORM.2!$F$11</f>
        <v>0</v>
      </c>
      <c r="Q8" s="289" t="b">
        <f>E8=[3]FORM.2!$G$11</f>
        <v>1</v>
      </c>
      <c r="R8" s="289" t="b">
        <f>F8=[3]FORM.2!$H$11</f>
        <v>1</v>
      </c>
      <c r="S8" s="289" t="b">
        <f>G8=[3]FORM.2!$I$11</f>
        <v>1</v>
      </c>
      <c r="T8" s="289" t="b">
        <f>H8=[3]FORM.2!$M$11</f>
        <v>1</v>
      </c>
      <c r="U8" s="313"/>
      <c r="V8" s="298"/>
      <c r="W8" s="225"/>
      <c r="X8" s="225"/>
      <c r="Y8" s="225"/>
      <c r="Z8" s="225"/>
      <c r="AA8" s="225"/>
      <c r="AB8" s="225"/>
      <c r="AC8" s="225"/>
      <c r="AD8" s="225"/>
      <c r="AE8" s="225"/>
      <c r="AF8" s="225"/>
      <c r="AG8" s="224"/>
      <c r="AH8" s="224"/>
      <c r="AI8" s="224"/>
      <c r="AJ8" s="224"/>
      <c r="AK8" s="224"/>
    </row>
    <row r="9" spans="1:37" s="219" customFormat="1" ht="110.25">
      <c r="A9" s="226" t="s">
        <v>196</v>
      </c>
      <c r="B9" s="227" t="s">
        <v>190</v>
      </c>
      <c r="C9" s="228" t="s">
        <v>197</v>
      </c>
      <c r="D9" s="242" t="s">
        <v>198</v>
      </c>
      <c r="E9" s="228" t="s">
        <v>109</v>
      </c>
      <c r="F9" s="228" t="s">
        <v>199</v>
      </c>
      <c r="G9" s="229" t="s">
        <v>200</v>
      </c>
      <c r="H9" s="229">
        <v>76000</v>
      </c>
      <c r="I9" s="229">
        <v>109401.28</v>
      </c>
      <c r="J9" s="9"/>
      <c r="K9" s="261">
        <f>I9-H9</f>
        <v>33401.279999999999</v>
      </c>
      <c r="L9" s="282">
        <f t="shared" ref="L9:L24" si="0">IFERROR(K9/H9*100,)</f>
        <v>43.949052631578944</v>
      </c>
      <c r="M9" s="288" t="b">
        <f>A9=[3]FORM.2!$A$12</f>
        <v>1</v>
      </c>
      <c r="N9" s="289" t="b">
        <f>B9=[3]FORM.2!$B$12</f>
        <v>1</v>
      </c>
      <c r="O9" s="289" t="b">
        <f>[3]FORM.2!$E$12=C9</f>
        <v>1</v>
      </c>
      <c r="P9" s="299" t="b">
        <f>D9=[3]FORM.2!$F$12</f>
        <v>0</v>
      </c>
      <c r="Q9" s="289" t="b">
        <f>E9=[3]FORM.2!$G$12</f>
        <v>1</v>
      </c>
      <c r="R9" s="289" t="b">
        <f>F9=[3]FORM.2!$H$12</f>
        <v>1</v>
      </c>
      <c r="S9" s="289" t="b">
        <f>G9=[3]FORM.2!$I$12</f>
        <v>1</v>
      </c>
      <c r="T9" s="289" t="b">
        <f>H9=[3]FORM.2!$M$12</f>
        <v>1</v>
      </c>
      <c r="U9" s="313"/>
      <c r="V9" s="298"/>
      <c r="W9" s="225"/>
      <c r="X9" s="225"/>
      <c r="Y9" s="225"/>
      <c r="Z9" s="225"/>
      <c r="AA9" s="225"/>
      <c r="AB9" s="225"/>
      <c r="AC9" s="225"/>
      <c r="AD9" s="225"/>
      <c r="AE9" s="225"/>
      <c r="AF9" s="225"/>
      <c r="AG9" s="224"/>
    </row>
    <row r="10" spans="1:37" s="219" customFormat="1" ht="94.5">
      <c r="A10" s="226" t="s">
        <v>201</v>
      </c>
      <c r="B10" s="227" t="s">
        <v>190</v>
      </c>
      <c r="C10" s="228" t="s">
        <v>202</v>
      </c>
      <c r="D10" s="242" t="s">
        <v>198</v>
      </c>
      <c r="E10" s="228" t="s">
        <v>30</v>
      </c>
      <c r="F10" s="228" t="s">
        <v>203</v>
      </c>
      <c r="G10" s="229" t="s">
        <v>204</v>
      </c>
      <c r="H10" s="229">
        <v>128000</v>
      </c>
      <c r="I10" s="229">
        <v>143424.64000000001</v>
      </c>
      <c r="J10" s="9"/>
      <c r="K10" s="261">
        <f t="shared" ref="K10:K24" si="1">I10-H10</f>
        <v>15424.640000000014</v>
      </c>
      <c r="L10" s="282">
        <f t="shared" si="0"/>
        <v>12.050500000000012</v>
      </c>
      <c r="M10" s="288" t="b">
        <f>A10=[3]FORM.2!$A$13</f>
        <v>1</v>
      </c>
      <c r="N10" s="289" t="b">
        <f>B10=[3]FORM.2!$B$13</f>
        <v>1</v>
      </c>
      <c r="O10" s="289" t="b">
        <f>C10=[3]FORM.2!$E$13</f>
        <v>1</v>
      </c>
      <c r="P10" s="299" t="b">
        <f>D10=[3]FORM.2!$F$13</f>
        <v>0</v>
      </c>
      <c r="Q10" s="289" t="b">
        <f>E10=[3]FORM.2!$G$13</f>
        <v>1</v>
      </c>
      <c r="R10" s="289" t="b">
        <f>F10=[3]FORM.2!$H$13</f>
        <v>1</v>
      </c>
      <c r="S10" s="289" t="b">
        <f>G10=[3]FORM.2!$I$13</f>
        <v>1</v>
      </c>
      <c r="T10" s="289" t="b">
        <f>H10=[3]FORM.2!$M$13</f>
        <v>1</v>
      </c>
      <c r="U10" s="313"/>
      <c r="V10" s="218"/>
      <c r="W10" s="218"/>
      <c r="X10" s="218"/>
      <c r="Y10" s="298"/>
      <c r="Z10" s="225"/>
      <c r="AA10" s="225"/>
      <c r="AB10" s="225"/>
      <c r="AC10" s="225"/>
      <c r="AD10" s="225"/>
      <c r="AE10" s="225"/>
    </row>
    <row r="11" spans="1:37" s="219" customFormat="1" ht="110.25">
      <c r="A11" s="226" t="s">
        <v>205</v>
      </c>
      <c r="B11" s="227" t="s">
        <v>190</v>
      </c>
      <c r="C11" s="228" t="s">
        <v>206</v>
      </c>
      <c r="D11" s="242" t="s">
        <v>198</v>
      </c>
      <c r="E11" s="228" t="s">
        <v>128</v>
      </c>
      <c r="F11" s="228" t="s">
        <v>199</v>
      </c>
      <c r="G11" s="229" t="s">
        <v>207</v>
      </c>
      <c r="H11" s="229">
        <v>44800</v>
      </c>
      <c r="I11" s="229">
        <v>67020</v>
      </c>
      <c r="J11" s="9"/>
      <c r="K11" s="261">
        <f t="shared" si="1"/>
        <v>22220</v>
      </c>
      <c r="L11" s="282">
        <f t="shared" si="0"/>
        <v>49.598214285714285</v>
      </c>
      <c r="M11" s="288" t="b">
        <f>A11=[3]FORM.2!$A$14</f>
        <v>1</v>
      </c>
      <c r="N11" s="289" t="b">
        <f>B11=[3]FORM.2!$B$14</f>
        <v>1</v>
      </c>
      <c r="O11" s="289" t="b">
        <f>C11=[3]FORM.2!$E$14</f>
        <v>1</v>
      </c>
      <c r="P11" s="299" t="b">
        <f>D11=[3]FORM.2!$F$14</f>
        <v>0</v>
      </c>
      <c r="Q11" s="289" t="b">
        <f>E11=[3]FORM.2!$G$14</f>
        <v>1</v>
      </c>
      <c r="R11" s="289" t="b">
        <f>F11=[3]FORM.2!$H$14</f>
        <v>1</v>
      </c>
      <c r="S11" s="289" t="b">
        <f>G11=[3]FORM.2!$I$14</f>
        <v>1</v>
      </c>
      <c r="T11" s="289" t="b">
        <f>H11=[3]FORM.2!$M$14</f>
        <v>1</v>
      </c>
      <c r="U11" s="313"/>
      <c r="V11" s="218"/>
      <c r="W11" s="218"/>
      <c r="X11" s="218"/>
      <c r="Y11" s="218"/>
      <c r="Z11" s="218"/>
      <c r="AA11" s="218"/>
      <c r="AB11" s="218"/>
      <c r="AC11" s="218"/>
      <c r="AD11" s="218"/>
      <c r="AE11" s="218"/>
    </row>
    <row r="12" spans="1:37" s="219" customFormat="1" ht="110.25">
      <c r="A12" s="226" t="s">
        <v>208</v>
      </c>
      <c r="B12" s="227" t="s">
        <v>190</v>
      </c>
      <c r="C12" s="228" t="s">
        <v>209</v>
      </c>
      <c r="D12" s="242" t="s">
        <v>198</v>
      </c>
      <c r="E12" s="228" t="s">
        <v>145</v>
      </c>
      <c r="F12" s="228" t="s">
        <v>199</v>
      </c>
      <c r="G12" s="229" t="s">
        <v>210</v>
      </c>
      <c r="H12" s="229">
        <v>90935</v>
      </c>
      <c r="I12" s="229">
        <v>110860</v>
      </c>
      <c r="J12" s="9"/>
      <c r="K12" s="261">
        <f t="shared" si="1"/>
        <v>19925</v>
      </c>
      <c r="L12" s="282">
        <f t="shared" si="0"/>
        <v>21.911255292241709</v>
      </c>
      <c r="M12" s="288" t="b">
        <f>A12=[3]FORM.2!$A$10</f>
        <v>1</v>
      </c>
      <c r="N12" s="289" t="b">
        <f>B12=[3]FORM.2!$B$10</f>
        <v>1</v>
      </c>
      <c r="O12" s="289" t="b">
        <f>C12=[3]FORM.2!$E$10</f>
        <v>1</v>
      </c>
      <c r="P12" s="299" t="b">
        <f>D12=[3]FORM.2!$F$10</f>
        <v>0</v>
      </c>
      <c r="Q12" s="289" t="b">
        <f>E12=[3]FORM.2!$G$10</f>
        <v>1</v>
      </c>
      <c r="R12" s="289" t="b">
        <f>F12=[3]FORM.2!$H$10</f>
        <v>1</v>
      </c>
      <c r="S12" s="289" t="b">
        <f>G12=[3]FORM.2!$I$10</f>
        <v>1</v>
      </c>
      <c r="T12" s="289" t="b">
        <f>H12=[3]FORM.2!$M$10</f>
        <v>1</v>
      </c>
      <c r="U12" s="313"/>
      <c r="V12" s="218"/>
      <c r="W12" s="218"/>
      <c r="X12" s="218"/>
      <c r="Y12" s="218"/>
      <c r="Z12" s="218"/>
      <c r="AA12" s="218"/>
      <c r="AB12" s="218"/>
      <c r="AC12" s="218"/>
      <c r="AD12" s="218"/>
      <c r="AE12" s="218"/>
    </row>
    <row r="13" spans="1:37" s="219" customFormat="1" ht="157.5">
      <c r="A13" s="226" t="s">
        <v>211</v>
      </c>
      <c r="B13" s="227" t="s">
        <v>190</v>
      </c>
      <c r="C13" s="228" t="s">
        <v>212</v>
      </c>
      <c r="D13" s="242" t="s">
        <v>198</v>
      </c>
      <c r="E13" s="228" t="s">
        <v>213</v>
      </c>
      <c r="F13" s="228" t="s">
        <v>203</v>
      </c>
      <c r="G13" s="237" t="s">
        <v>214</v>
      </c>
      <c r="H13" s="229">
        <v>62582.68</v>
      </c>
      <c r="I13" s="229">
        <v>68400</v>
      </c>
      <c r="J13" s="9"/>
      <c r="K13" s="261">
        <f t="shared" si="1"/>
        <v>5817.32</v>
      </c>
      <c r="L13" s="282">
        <f t="shared" si="0"/>
        <v>9.2954152810330264</v>
      </c>
      <c r="M13" s="288" t="b">
        <f>A13=[3]FORM.2!$A$16</f>
        <v>1</v>
      </c>
      <c r="N13" s="289" t="b">
        <f>B13=[3]FORM.2!$B$16</f>
        <v>1</v>
      </c>
      <c r="O13" s="289" t="b">
        <f>C13=[3]FORM.2!$E$16</f>
        <v>1</v>
      </c>
      <c r="P13" s="289" t="b">
        <f>D13=[3]FORM.2!$F$16</f>
        <v>1</v>
      </c>
      <c r="Q13" s="289" t="b">
        <f>E13=[3]FORM.2!$G$16</f>
        <v>1</v>
      </c>
      <c r="R13" s="289" t="b">
        <f>F13=[3]FORM.2!$H$16</f>
        <v>1</v>
      </c>
      <c r="S13" s="289" t="b">
        <f>G13=[3]FORM.2!$I$16</f>
        <v>1</v>
      </c>
      <c r="T13" s="289" t="b">
        <f>H13=[3]FORM.2!$M$16</f>
        <v>1</v>
      </c>
      <c r="U13" s="313"/>
      <c r="V13" s="218"/>
      <c r="W13" s="218"/>
      <c r="X13" s="218"/>
      <c r="Y13" s="218"/>
      <c r="Z13" s="218"/>
      <c r="AA13" s="218"/>
      <c r="AB13" s="218"/>
      <c r="AC13" s="218"/>
      <c r="AD13" s="218"/>
      <c r="AE13" s="218"/>
    </row>
    <row r="14" spans="1:37" s="219" customFormat="1" ht="173.25">
      <c r="A14" s="226" t="s">
        <v>215</v>
      </c>
      <c r="B14" s="227" t="s">
        <v>190</v>
      </c>
      <c r="C14" s="228" t="s">
        <v>216</v>
      </c>
      <c r="D14" s="228" t="s">
        <v>198</v>
      </c>
      <c r="E14" s="228" t="s">
        <v>119</v>
      </c>
      <c r="F14" s="228" t="s">
        <v>203</v>
      </c>
      <c r="G14" s="237" t="s">
        <v>217</v>
      </c>
      <c r="H14" s="229">
        <v>27999.999</v>
      </c>
      <c r="I14" s="229">
        <v>54830</v>
      </c>
      <c r="J14" s="238"/>
      <c r="K14" s="261">
        <f t="shared" si="1"/>
        <v>26830.001</v>
      </c>
      <c r="L14" s="282">
        <f t="shared" si="0"/>
        <v>95.821435565051274</v>
      </c>
      <c r="M14" s="288" t="b">
        <f>A14=[3]FORM.2!$A$7</f>
        <v>1</v>
      </c>
      <c r="N14" s="289" t="b">
        <f>B14=[3]FORM.2!$B$7</f>
        <v>1</v>
      </c>
      <c r="O14" s="289" t="b">
        <f>C14=[3]FORM.2!$E$7</f>
        <v>1</v>
      </c>
      <c r="P14" s="289" t="b">
        <f>D14=[3]FORM.2!$F$7</f>
        <v>1</v>
      </c>
      <c r="Q14" s="289" t="b">
        <f>E14=[3]FORM.2!$G$7</f>
        <v>1</v>
      </c>
      <c r="R14" s="289" t="b">
        <f>F14=[3]FORM.2!$H$7</f>
        <v>1</v>
      </c>
      <c r="S14" s="289" t="b">
        <f>G14=[3]FORM.2!$I$7</f>
        <v>1</v>
      </c>
      <c r="T14" s="289" t="b">
        <f>H14=[3]FORM.2!$M$7</f>
        <v>1</v>
      </c>
      <c r="U14" s="313"/>
      <c r="V14" s="218"/>
      <c r="W14" s="218"/>
      <c r="X14" s="218"/>
      <c r="Y14" s="218"/>
      <c r="Z14" s="218"/>
      <c r="AA14" s="218"/>
      <c r="AB14" s="218"/>
      <c r="AC14" s="218"/>
      <c r="AD14" s="218"/>
      <c r="AE14" s="218"/>
    </row>
    <row r="15" spans="1:37" s="219" customFormat="1" ht="157.5">
      <c r="A15" s="226" t="s">
        <v>218</v>
      </c>
      <c r="B15" s="227" t="s">
        <v>190</v>
      </c>
      <c r="C15" s="228" t="s">
        <v>219</v>
      </c>
      <c r="D15" s="242" t="s">
        <v>198</v>
      </c>
      <c r="E15" s="228" t="s">
        <v>220</v>
      </c>
      <c r="F15" s="228" t="s">
        <v>203</v>
      </c>
      <c r="G15" s="237" t="s">
        <v>221</v>
      </c>
      <c r="H15" s="229">
        <v>65135</v>
      </c>
      <c r="I15" s="229">
        <v>73643</v>
      </c>
      <c r="J15" s="9"/>
      <c r="K15" s="261">
        <f t="shared" si="1"/>
        <v>8508</v>
      </c>
      <c r="L15" s="282">
        <f t="shared" si="0"/>
        <v>13.062101788592923</v>
      </c>
      <c r="M15" s="288" t="b">
        <f>A15=[3]FORM.2!$A$15</f>
        <v>1</v>
      </c>
      <c r="N15" s="289" t="b">
        <f>B15=[3]FORM.2!$B$15</f>
        <v>1</v>
      </c>
      <c r="O15" s="289" t="b">
        <f>C15=[3]FORM.2!$E$15</f>
        <v>1</v>
      </c>
      <c r="P15" s="299" t="b">
        <f>D15=[3]FORM.2!$F$15</f>
        <v>0</v>
      </c>
      <c r="Q15" s="289" t="b">
        <f>E15=[3]FORM.2!$G$15</f>
        <v>1</v>
      </c>
      <c r="R15" s="289" t="b">
        <f>F15=[3]FORM.2!$H$15</f>
        <v>1</v>
      </c>
      <c r="S15" s="289" t="b">
        <f>G15=[3]FORM.2!$I$15</f>
        <v>1</v>
      </c>
      <c r="T15" s="289" t="b">
        <f>H15=[3]FORM.2!$M$15</f>
        <v>1</v>
      </c>
      <c r="U15" s="313"/>
      <c r="V15" s="218"/>
      <c r="W15" s="218"/>
      <c r="X15" s="218"/>
      <c r="Y15" s="218"/>
      <c r="Z15" s="218"/>
      <c r="AA15" s="218"/>
      <c r="AB15" s="218"/>
      <c r="AC15" s="218"/>
      <c r="AD15" s="218"/>
      <c r="AE15" s="218"/>
    </row>
    <row r="16" spans="1:37" s="219" customFormat="1" ht="94.5">
      <c r="A16" s="226" t="s">
        <v>222</v>
      </c>
      <c r="B16" s="227" t="s">
        <v>190</v>
      </c>
      <c r="C16" s="228" t="s">
        <v>223</v>
      </c>
      <c r="D16" s="228" t="s">
        <v>224</v>
      </c>
      <c r="E16" s="228" t="s">
        <v>157</v>
      </c>
      <c r="F16" s="228" t="s">
        <v>199</v>
      </c>
      <c r="G16" s="229" t="s">
        <v>225</v>
      </c>
      <c r="H16" s="229">
        <v>80000</v>
      </c>
      <c r="I16" s="229">
        <v>80000</v>
      </c>
      <c r="J16" s="9"/>
      <c r="K16" s="261">
        <f t="shared" si="1"/>
        <v>0</v>
      </c>
      <c r="L16" s="282">
        <f t="shared" si="0"/>
        <v>0</v>
      </c>
      <c r="M16" s="288" t="b">
        <f>A16=[3]FORM.2!$A$35</f>
        <v>1</v>
      </c>
      <c r="N16" s="289" t="b">
        <f>B16=[3]FORM.2!$B$35</f>
        <v>1</v>
      </c>
      <c r="O16" s="289" t="b">
        <f>C16=[3]FORM.2!$E$35</f>
        <v>1</v>
      </c>
      <c r="P16" s="289" t="b">
        <f>D16=[3]FORM.2!$F$35</f>
        <v>1</v>
      </c>
      <c r="Q16" s="289" t="b">
        <f>E16=[3]FORM.2!$G$35</f>
        <v>1</v>
      </c>
      <c r="R16" s="289" t="b">
        <f>F16=[3]FORM.2!$H$35</f>
        <v>1</v>
      </c>
      <c r="S16" s="289" t="b">
        <f>G16=[3]FORM.2!$I$35</f>
        <v>1</v>
      </c>
      <c r="T16" s="289" t="b">
        <f>H16=[3]FORM.2!$M$35</f>
        <v>1</v>
      </c>
      <c r="U16" s="313"/>
      <c r="V16" s="218"/>
      <c r="W16" s="218"/>
      <c r="X16" s="218"/>
      <c r="Y16" s="218"/>
      <c r="Z16" s="218"/>
      <c r="AA16" s="218"/>
      <c r="AB16" s="218"/>
      <c r="AC16" s="218"/>
      <c r="AD16" s="218"/>
      <c r="AE16" s="218"/>
    </row>
    <row r="17" spans="1:31" s="219" customFormat="1" ht="110.25">
      <c r="A17" s="226" t="s">
        <v>222</v>
      </c>
      <c r="B17" s="227" t="s">
        <v>190</v>
      </c>
      <c r="C17" s="228" t="s">
        <v>226</v>
      </c>
      <c r="D17" s="228" t="s">
        <v>227</v>
      </c>
      <c r="E17" s="228" t="s">
        <v>145</v>
      </c>
      <c r="F17" s="228" t="s">
        <v>199</v>
      </c>
      <c r="G17" s="229" t="s">
        <v>228</v>
      </c>
      <c r="H17" s="229">
        <v>42720</v>
      </c>
      <c r="I17" s="229">
        <v>38124</v>
      </c>
      <c r="J17" s="9"/>
      <c r="K17" s="261">
        <f t="shared" si="1"/>
        <v>-4596</v>
      </c>
      <c r="L17" s="282">
        <f t="shared" si="0"/>
        <v>-10.758426966292136</v>
      </c>
      <c r="M17" s="288" t="b">
        <f>A17=[3]FORM.2!$A$36</f>
        <v>1</v>
      </c>
      <c r="N17" s="289" t="b">
        <f>B17=[3]FORM.2!$B$36</f>
        <v>1</v>
      </c>
      <c r="O17" s="289" t="b">
        <f>C17=[3]FORM.2!$E$36</f>
        <v>1</v>
      </c>
      <c r="P17" s="289" t="b">
        <f>D17=[3]FORM.2!$F$36</f>
        <v>1</v>
      </c>
      <c r="Q17" s="289" t="b">
        <f>E17=[3]FORM.2!$G$36</f>
        <v>1</v>
      </c>
      <c r="R17" s="289" t="b">
        <f>F17=[3]FORM.2!$H$36</f>
        <v>1</v>
      </c>
      <c r="S17" s="289" t="b">
        <f>G17=[3]FORM.2!$I$36</f>
        <v>1</v>
      </c>
      <c r="T17" s="289" t="b">
        <f>H17=[3]FORM.2!$M$36</f>
        <v>1</v>
      </c>
      <c r="U17" s="313"/>
      <c r="V17" s="218"/>
      <c r="W17" s="218"/>
      <c r="X17" s="218"/>
      <c r="Y17" s="218"/>
      <c r="Z17" s="218"/>
      <c r="AA17" s="218"/>
      <c r="AB17" s="218"/>
      <c r="AC17" s="218"/>
      <c r="AD17" s="218"/>
      <c r="AE17" s="218"/>
    </row>
    <row r="18" spans="1:31" s="219" customFormat="1" ht="63">
      <c r="A18" s="226" t="s">
        <v>222</v>
      </c>
      <c r="B18" s="227" t="s">
        <v>229</v>
      </c>
      <c r="C18" s="228" t="s">
        <v>230</v>
      </c>
      <c r="D18" s="228" t="s">
        <v>231</v>
      </c>
      <c r="E18" s="228" t="s">
        <v>75</v>
      </c>
      <c r="F18" s="228" t="s">
        <v>232</v>
      </c>
      <c r="G18" s="229" t="s">
        <v>233</v>
      </c>
      <c r="H18" s="229">
        <v>150000</v>
      </c>
      <c r="I18" s="229">
        <v>150000</v>
      </c>
      <c r="J18" s="9"/>
      <c r="K18" s="261">
        <f t="shared" si="1"/>
        <v>0</v>
      </c>
      <c r="L18" s="282">
        <f t="shared" si="0"/>
        <v>0</v>
      </c>
      <c r="M18" s="288" t="b">
        <f>A18=[3]FORM.2!$A$40</f>
        <v>1</v>
      </c>
      <c r="N18" s="289" t="b">
        <f>B18=[3]FORM.2!$B$40</f>
        <v>1</v>
      </c>
      <c r="O18" s="289" t="b">
        <f>C18=[3]FORM.2!$E$40</f>
        <v>1</v>
      </c>
      <c r="P18" s="289" t="b">
        <f>D18=[3]FORM.2!$F$40</f>
        <v>1</v>
      </c>
      <c r="Q18" s="289" t="b">
        <f>E18=[3]FORM.2!$G$40</f>
        <v>1</v>
      </c>
      <c r="R18" s="289" t="b">
        <f>F18=[3]FORM.2!$H$40</f>
        <v>1</v>
      </c>
      <c r="S18" s="289" t="b">
        <f>G18=[3]FORM.2!$I$40</f>
        <v>1</v>
      </c>
      <c r="T18" s="289" t="b">
        <f>H18=[3]FORM.2!$M$40</f>
        <v>1</v>
      </c>
      <c r="U18" s="313"/>
      <c r="V18" s="218"/>
      <c r="W18" s="218"/>
      <c r="X18" s="218"/>
      <c r="Y18" s="218"/>
      <c r="Z18" s="218"/>
      <c r="AA18" s="218"/>
      <c r="AB18" s="218"/>
      <c r="AC18" s="218"/>
      <c r="AD18" s="218"/>
      <c r="AE18" s="218"/>
    </row>
    <row r="19" spans="1:31" s="219" customFormat="1" ht="78.75">
      <c r="A19" s="226" t="s">
        <v>222</v>
      </c>
      <c r="B19" s="264" t="s">
        <v>229</v>
      </c>
      <c r="C19" s="228" t="s">
        <v>234</v>
      </c>
      <c r="D19" s="228" t="s">
        <v>235</v>
      </c>
      <c r="E19" s="228" t="s">
        <v>75</v>
      </c>
      <c r="F19" s="228" t="s">
        <v>203</v>
      </c>
      <c r="G19" s="229" t="s">
        <v>236</v>
      </c>
      <c r="H19" s="229">
        <v>150000</v>
      </c>
      <c r="I19" s="263">
        <v>150000</v>
      </c>
      <c r="J19" s="9"/>
      <c r="K19" s="261">
        <f t="shared" si="1"/>
        <v>0</v>
      </c>
      <c r="L19" s="282">
        <f t="shared" si="0"/>
        <v>0</v>
      </c>
      <c r="M19" s="288" t="b">
        <f>A19=[3]FORM.2!$A$43</f>
        <v>1</v>
      </c>
      <c r="N19" s="289" t="b">
        <f>B19=[3]FORM.2!$B$43</f>
        <v>1</v>
      </c>
      <c r="O19" s="289" t="b">
        <f>C19=[3]FORM.2!$E$43</f>
        <v>1</v>
      </c>
      <c r="P19" s="289" t="b">
        <f>D19=[3]FORM.2!$F$43</f>
        <v>1</v>
      </c>
      <c r="Q19" s="299" t="b">
        <f>E19=[3]FORM.2!$G$43</f>
        <v>1</v>
      </c>
      <c r="R19" s="289" t="b">
        <f>F19=[3]FORM.2!$H$43</f>
        <v>1</v>
      </c>
      <c r="S19" s="289" t="b">
        <f>G19=[3]FORM.2!$I$43</f>
        <v>1</v>
      </c>
      <c r="T19" s="289" t="b">
        <f>H19=[3]FORM.2!$M$43</f>
        <v>1</v>
      </c>
      <c r="U19" s="313"/>
      <c r="V19" s="218"/>
      <c r="W19" s="218"/>
      <c r="X19" s="218"/>
      <c r="Y19" s="218"/>
      <c r="Z19" s="218"/>
      <c r="AA19" s="218"/>
      <c r="AB19" s="218"/>
      <c r="AC19" s="218"/>
      <c r="AD19" s="218"/>
      <c r="AE19" s="218"/>
    </row>
    <row r="20" spans="1:31" s="219" customFormat="1" ht="63">
      <c r="A20" s="226" t="s">
        <v>222</v>
      </c>
      <c r="B20" s="227" t="s">
        <v>229</v>
      </c>
      <c r="C20" s="228" t="s">
        <v>237</v>
      </c>
      <c r="D20" s="228" t="s">
        <v>238</v>
      </c>
      <c r="E20" s="228" t="s">
        <v>75</v>
      </c>
      <c r="F20" s="228" t="s">
        <v>232</v>
      </c>
      <c r="G20" s="229" t="s">
        <v>239</v>
      </c>
      <c r="H20" s="229">
        <v>22800</v>
      </c>
      <c r="I20" s="229">
        <v>22800</v>
      </c>
      <c r="J20" s="9"/>
      <c r="K20" s="261">
        <f t="shared" si="1"/>
        <v>0</v>
      </c>
      <c r="L20" s="282">
        <f t="shared" si="0"/>
        <v>0</v>
      </c>
      <c r="M20" s="288" t="b">
        <f>A20=[3]FORM.2!$A$44</f>
        <v>1</v>
      </c>
      <c r="N20" s="289" t="b">
        <f>B20=[3]FORM.2!$B$44</f>
        <v>1</v>
      </c>
      <c r="O20" s="289" t="b">
        <f>C20=[3]FORM.2!$E$44</f>
        <v>1</v>
      </c>
      <c r="P20" s="289" t="b">
        <f>D20=[3]FORM.2!$F$44</f>
        <v>1</v>
      </c>
      <c r="Q20" s="289" t="b">
        <f>E20=[3]FORM.2!$G$44</f>
        <v>1</v>
      </c>
      <c r="R20" s="289" t="b">
        <f>F20=[3]FORM.2!$H$44</f>
        <v>1</v>
      </c>
      <c r="S20" s="289" t="b">
        <f>G20=[3]FORM.2!$I$44</f>
        <v>1</v>
      </c>
      <c r="T20" s="289" t="b">
        <f>H20=[3]FORM.2!$M$44</f>
        <v>1</v>
      </c>
      <c r="U20" s="313"/>
      <c r="V20" s="218"/>
      <c r="W20" s="218"/>
      <c r="X20" s="218"/>
      <c r="Y20" s="218"/>
      <c r="Z20" s="218"/>
      <c r="AA20" s="218"/>
      <c r="AB20" s="218"/>
      <c r="AC20" s="218"/>
      <c r="AD20" s="218"/>
      <c r="AE20" s="218"/>
    </row>
    <row r="21" spans="1:31" s="219" customFormat="1" ht="63">
      <c r="A21" s="226" t="s">
        <v>222</v>
      </c>
      <c r="B21" s="227" t="s">
        <v>229</v>
      </c>
      <c r="C21" s="228" t="s">
        <v>240</v>
      </c>
      <c r="D21" s="228" t="s">
        <v>241</v>
      </c>
      <c r="E21" s="228" t="s">
        <v>119</v>
      </c>
      <c r="F21" s="228" t="s">
        <v>203</v>
      </c>
      <c r="G21" s="229" t="s">
        <v>233</v>
      </c>
      <c r="H21" s="229">
        <v>300000</v>
      </c>
      <c r="I21" s="229">
        <v>300000</v>
      </c>
      <c r="J21" s="9"/>
      <c r="K21" s="261">
        <f t="shared" si="1"/>
        <v>0</v>
      </c>
      <c r="L21" s="282">
        <f t="shared" si="0"/>
        <v>0</v>
      </c>
      <c r="M21" s="288" t="b">
        <f>A21=[3]FORM.2!$A$41</f>
        <v>1</v>
      </c>
      <c r="N21" s="289" t="b">
        <f>B21=[3]FORM.2!$B$41</f>
        <v>1</v>
      </c>
      <c r="O21" s="299" t="b">
        <f>C21=[3]FORM.2!$E$41</f>
        <v>0</v>
      </c>
      <c r="P21" s="289" t="b">
        <f>D21=[3]FORM.2!$F$41</f>
        <v>1</v>
      </c>
      <c r="Q21" s="289" t="b">
        <f>E21=[3]FORM.2!$G$41</f>
        <v>1</v>
      </c>
      <c r="R21" s="289" t="b">
        <f>F21=[3]FORM.2!$H$41</f>
        <v>1</v>
      </c>
      <c r="S21" s="289" t="b">
        <f>G21=[3]FORM.2!$I$41</f>
        <v>1</v>
      </c>
      <c r="T21" s="289" t="b">
        <f>H21=[3]FORM.2!$M$41</f>
        <v>1</v>
      </c>
      <c r="U21" s="313"/>
      <c r="V21" s="218"/>
      <c r="W21" s="218"/>
      <c r="X21" s="218"/>
      <c r="Y21" s="218"/>
      <c r="Z21" s="218"/>
      <c r="AA21" s="218"/>
      <c r="AB21" s="218"/>
      <c r="AC21" s="218"/>
      <c r="AD21" s="218"/>
      <c r="AE21" s="218"/>
    </row>
    <row r="22" spans="1:31" s="219" customFormat="1" ht="63">
      <c r="A22" s="226" t="s">
        <v>222</v>
      </c>
      <c r="B22" s="227" t="s">
        <v>229</v>
      </c>
      <c r="C22" s="228" t="s">
        <v>242</v>
      </c>
      <c r="D22" s="228" t="s">
        <v>243</v>
      </c>
      <c r="E22" s="228" t="s">
        <v>220</v>
      </c>
      <c r="F22" s="228" t="s">
        <v>203</v>
      </c>
      <c r="G22" s="229" t="s">
        <v>244</v>
      </c>
      <c r="H22" s="229">
        <v>17047.27</v>
      </c>
      <c r="I22" s="229">
        <v>40000</v>
      </c>
      <c r="J22" s="9"/>
      <c r="K22" s="261">
        <f t="shared" si="1"/>
        <v>22952.73</v>
      </c>
      <c r="L22" s="282">
        <f t="shared" si="0"/>
        <v>134.64167576391998</v>
      </c>
      <c r="M22" s="288" t="b">
        <f>A22=[3]FORM.2!$A$37</f>
        <v>1</v>
      </c>
      <c r="N22" s="289" t="b">
        <f>B22=[3]FORM.2!$B$37</f>
        <v>1</v>
      </c>
      <c r="O22" s="289" t="b">
        <f>C22=[3]FORM.2!$E$37</f>
        <v>1</v>
      </c>
      <c r="P22" s="289" t="b">
        <f>D22=[3]FORM.2!$F$37</f>
        <v>1</v>
      </c>
      <c r="Q22" s="289" t="b">
        <f>E22=[3]FORM.2!$G$37</f>
        <v>1</v>
      </c>
      <c r="R22" s="289" t="b">
        <f>F22=[3]FORM.2!$H$37</f>
        <v>1</v>
      </c>
      <c r="S22" s="289" t="b">
        <f>G22=[3]FORM.2!$I$37</f>
        <v>0</v>
      </c>
      <c r="T22" s="289" t="b">
        <f>H22=[3]FORM.2!$M$37</f>
        <v>1</v>
      </c>
      <c r="U22" s="313"/>
      <c r="V22" s="218"/>
      <c r="W22" s="218"/>
      <c r="X22" s="218"/>
      <c r="Y22" s="218"/>
      <c r="Z22" s="218"/>
      <c r="AA22" s="218"/>
      <c r="AB22" s="218"/>
      <c r="AC22" s="218"/>
      <c r="AD22" s="218"/>
      <c r="AE22" s="218"/>
    </row>
    <row r="23" spans="1:31" s="219" customFormat="1" ht="63">
      <c r="A23" s="226" t="s">
        <v>222</v>
      </c>
      <c r="B23" s="227" t="s">
        <v>229</v>
      </c>
      <c r="C23" s="228" t="s">
        <v>245</v>
      </c>
      <c r="D23" s="228" t="s">
        <v>246</v>
      </c>
      <c r="E23" s="228" t="s">
        <v>109</v>
      </c>
      <c r="F23" s="228" t="s">
        <v>199</v>
      </c>
      <c r="G23" s="229" t="s">
        <v>247</v>
      </c>
      <c r="H23" s="229">
        <v>28781.62</v>
      </c>
      <c r="I23" s="229">
        <v>20000</v>
      </c>
      <c r="J23" s="9"/>
      <c r="K23" s="261">
        <f t="shared" si="1"/>
        <v>-8781.619999999999</v>
      </c>
      <c r="L23" s="282">
        <f t="shared" si="0"/>
        <v>-30.511208194674239</v>
      </c>
      <c r="M23" s="288" t="b">
        <f>A23=[3]FORM.2!$A$38</f>
        <v>1</v>
      </c>
      <c r="N23" s="288" t="b">
        <f>B23=[3]FORM.2!$B$38</f>
        <v>1</v>
      </c>
      <c r="O23" s="291" t="b">
        <f>C23=[3]FORM.2!$E$38</f>
        <v>1</v>
      </c>
      <c r="P23" s="288" t="b">
        <f>D23=[3]FORM.2!$F$38</f>
        <v>1</v>
      </c>
      <c r="Q23" s="288" t="b">
        <f>E23=[3]FORM.2!$G$38</f>
        <v>1</v>
      </c>
      <c r="R23" s="288" t="b">
        <f>F23=[3]FORM.2!$H$38</f>
        <v>1</v>
      </c>
      <c r="S23" s="288" t="b">
        <f>G23=[3]FORM.2!$I$38</f>
        <v>0</v>
      </c>
      <c r="T23" s="288" t="b">
        <f>H23=[3]FORM.2!$M$38</f>
        <v>1</v>
      </c>
      <c r="U23" s="313"/>
      <c r="V23" s="218"/>
      <c r="W23" s="218"/>
      <c r="X23" s="218"/>
      <c r="Y23" s="218"/>
      <c r="Z23" s="218"/>
      <c r="AA23" s="218"/>
      <c r="AB23" s="218"/>
      <c r="AC23" s="218"/>
      <c r="AD23" s="218"/>
      <c r="AE23" s="218"/>
    </row>
    <row r="24" spans="1:31" s="219" customFormat="1" ht="47.25">
      <c r="A24" s="226" t="s">
        <v>222</v>
      </c>
      <c r="B24" s="227" t="s">
        <v>190</v>
      </c>
      <c r="C24" s="228" t="s">
        <v>248</v>
      </c>
      <c r="D24" s="228" t="s">
        <v>249</v>
      </c>
      <c r="E24" s="228" t="s">
        <v>153</v>
      </c>
      <c r="F24" s="228" t="s">
        <v>250</v>
      </c>
      <c r="G24" s="229" t="s">
        <v>251</v>
      </c>
      <c r="H24" s="229">
        <v>119283.17</v>
      </c>
      <c r="I24" s="229">
        <v>80000</v>
      </c>
      <c r="J24" s="283"/>
      <c r="K24" s="261">
        <f t="shared" si="1"/>
        <v>-39283.17</v>
      </c>
      <c r="L24" s="282">
        <f t="shared" si="0"/>
        <v>-32.932701235220357</v>
      </c>
      <c r="M24" s="288" t="b">
        <f>A24=[3]FORM.2!$A$39</f>
        <v>1</v>
      </c>
      <c r="N24" s="289" t="b">
        <f>B24=[3]FORM.2!$B$39</f>
        <v>1</v>
      </c>
      <c r="O24" s="289" t="b">
        <f>C24=[3]FORM.2!$E$39</f>
        <v>1</v>
      </c>
      <c r="P24" s="289" t="b">
        <f>D24=[3]FORM.2!$F$39</f>
        <v>1</v>
      </c>
      <c r="Q24" s="289" t="b">
        <f>E24=[3]FORM.2!$G$39</f>
        <v>1</v>
      </c>
      <c r="R24" s="289" t="b">
        <f>F24=[3]FORM.2!$H$39</f>
        <v>1</v>
      </c>
      <c r="S24" s="289" t="b">
        <f>G24=[3]FORM.2!$I$39</f>
        <v>1</v>
      </c>
      <c r="T24" s="289" t="b">
        <f>H24=[3]FORM.2!$M$39</f>
        <v>1</v>
      </c>
      <c r="U24" s="313"/>
      <c r="V24" s="218"/>
      <c r="W24" s="218"/>
      <c r="X24" s="218"/>
      <c r="Y24" s="218"/>
      <c r="Z24" s="218"/>
      <c r="AA24" s="218"/>
      <c r="AB24" s="218"/>
      <c r="AC24" s="218"/>
      <c r="AD24" s="218"/>
      <c r="AE24" s="218"/>
    </row>
    <row r="25" spans="1:31" s="219" customFormat="1" ht="63">
      <c r="A25" s="226" t="s">
        <v>222</v>
      </c>
      <c r="B25" s="227" t="s">
        <v>190</v>
      </c>
      <c r="C25" s="228" t="s">
        <v>252</v>
      </c>
      <c r="D25" s="228" t="s">
        <v>63</v>
      </c>
      <c r="E25" s="228" t="s">
        <v>253</v>
      </c>
      <c r="F25" s="228" t="s">
        <v>199</v>
      </c>
      <c r="G25" s="229" t="s">
        <v>254</v>
      </c>
      <c r="H25" s="229"/>
      <c r="I25" s="229">
        <v>78357.917643001245</v>
      </c>
      <c r="J25" s="283"/>
      <c r="K25" s="261">
        <f t="shared" ref="K25:K43" si="2">I25-H25</f>
        <v>78357.917643001245</v>
      </c>
      <c r="L25" s="282">
        <f t="shared" ref="L25:L43" si="3">IFERROR(K25/H25*100,)</f>
        <v>0</v>
      </c>
      <c r="M25" s="287" t="s">
        <v>255</v>
      </c>
      <c r="N25" s="287" t="s">
        <v>255</v>
      </c>
      <c r="O25" s="287" t="s">
        <v>255</v>
      </c>
      <c r="P25" s="287" t="s">
        <v>255</v>
      </c>
      <c r="Q25" s="287" t="s">
        <v>255</v>
      </c>
      <c r="R25" s="287" t="s">
        <v>255</v>
      </c>
      <c r="S25" s="287" t="s">
        <v>255</v>
      </c>
      <c r="T25" s="287" t="s">
        <v>255</v>
      </c>
      <c r="U25" s="313"/>
      <c r="V25" s="218"/>
      <c r="W25" s="218"/>
      <c r="X25" s="218"/>
      <c r="Y25" s="218"/>
      <c r="Z25" s="218"/>
      <c r="AA25" s="218"/>
      <c r="AB25" s="218"/>
      <c r="AC25" s="218"/>
      <c r="AD25" s="218"/>
      <c r="AE25" s="218"/>
    </row>
    <row r="26" spans="1:31" s="219" customFormat="1" ht="78.75">
      <c r="A26" s="226" t="s">
        <v>256</v>
      </c>
      <c r="B26" s="227" t="s">
        <v>190</v>
      </c>
      <c r="C26" s="228" t="s">
        <v>257</v>
      </c>
      <c r="D26" s="228" t="s">
        <v>258</v>
      </c>
      <c r="E26" s="228" t="s">
        <v>98</v>
      </c>
      <c r="F26" s="228" t="s">
        <v>199</v>
      </c>
      <c r="G26" s="229" t="s">
        <v>259</v>
      </c>
      <c r="H26" s="229">
        <v>405867.71038250002</v>
      </c>
      <c r="I26" s="229">
        <v>429409.08843633335</v>
      </c>
      <c r="J26" s="229"/>
      <c r="K26" s="261">
        <f t="shared" si="2"/>
        <v>23541.378053833323</v>
      </c>
      <c r="L26" s="282">
        <f t="shared" si="3"/>
        <v>5.8002589148191497</v>
      </c>
      <c r="M26" s="288" t="b">
        <f>A26=[3]FORM.2!$A$6</f>
        <v>1</v>
      </c>
      <c r="N26" s="289" t="b">
        <f>B26=[3]FORM.2!$B$6</f>
        <v>1</v>
      </c>
      <c r="O26" s="289" t="b">
        <v>1</v>
      </c>
      <c r="P26" s="289" t="b">
        <f>D26=[3]FORM.2!$F$6</f>
        <v>1</v>
      </c>
      <c r="Q26" s="289" t="b">
        <f>E26=[3]FORM.2!$G$6</f>
        <v>1</v>
      </c>
      <c r="R26" s="289" t="b">
        <f>F26=[3]FORM.2!$H$6</f>
        <v>1</v>
      </c>
      <c r="S26" s="290" t="b">
        <f>G26=[3]FORM.2!$I$6</f>
        <v>1</v>
      </c>
      <c r="T26" s="290" t="b">
        <f>H26=[3]FORM.2!$M$6</f>
        <v>1</v>
      </c>
      <c r="U26" s="313"/>
      <c r="V26" s="218"/>
      <c r="W26" s="218"/>
      <c r="X26" s="218"/>
      <c r="Y26" s="218"/>
      <c r="Z26" s="218"/>
      <c r="AA26" s="218"/>
      <c r="AB26" s="218"/>
      <c r="AC26" s="218"/>
      <c r="AD26" s="218"/>
      <c r="AE26" s="218"/>
    </row>
    <row r="27" spans="1:31" s="219" customFormat="1" ht="141.75">
      <c r="A27" s="226" t="s">
        <v>260</v>
      </c>
      <c r="B27" s="264" t="s">
        <v>190</v>
      </c>
      <c r="C27" s="228" t="s">
        <v>261</v>
      </c>
      <c r="D27" s="228" t="s">
        <v>262</v>
      </c>
      <c r="E27" s="228" t="s">
        <v>75</v>
      </c>
      <c r="F27" s="228" t="s">
        <v>232</v>
      </c>
      <c r="G27" s="229" t="s">
        <v>263</v>
      </c>
      <c r="H27" s="229">
        <v>60921.56</v>
      </c>
      <c r="I27" s="229">
        <v>178108.346303</v>
      </c>
      <c r="J27" s="229"/>
      <c r="K27" s="261">
        <f t="shared" si="2"/>
        <v>117186.786303</v>
      </c>
      <c r="L27" s="282">
        <f t="shared" si="3"/>
        <v>192.3568377155805</v>
      </c>
      <c r="M27" s="288" t="b">
        <f>A27=[3]FORM.2!$A$28</f>
        <v>1</v>
      </c>
      <c r="N27" s="299" t="str">
        <f t="shared" ref="N27" si="4">B27</f>
        <v>A</v>
      </c>
      <c r="O27" s="299" t="str">
        <f t="shared" ref="O27" si="5">C27</f>
        <v xml:space="preserve">Manter e Desenvolver as Atividades da Assessoria de Eventos </v>
      </c>
      <c r="P27" s="289" t="b">
        <f>D27=[3]FORM.2!$F$28</f>
        <v>1</v>
      </c>
      <c r="Q27" s="289" t="b">
        <f>E27=[3]FORM.2!$G$28</f>
        <v>1</v>
      </c>
      <c r="R27" s="289" t="b">
        <f>F27=[3]FORM.2!$H$28</f>
        <v>1</v>
      </c>
      <c r="S27" s="290" t="b">
        <f>G27=[3]FORM.2!$I$28</f>
        <v>1</v>
      </c>
      <c r="T27" s="290" t="b">
        <f>H27=[3]FORM.2!$M$28</f>
        <v>1</v>
      </c>
      <c r="U27" s="313"/>
      <c r="V27" s="218"/>
      <c r="W27" s="218"/>
      <c r="X27" s="218"/>
      <c r="Y27" s="218"/>
      <c r="Z27" s="218"/>
      <c r="AA27" s="218"/>
      <c r="AB27" s="218"/>
      <c r="AC27" s="218"/>
      <c r="AD27" s="218"/>
      <c r="AE27" s="218"/>
    </row>
    <row r="28" spans="1:31" s="219" customFormat="1" ht="47.25">
      <c r="A28" s="226" t="s">
        <v>260</v>
      </c>
      <c r="B28" s="227" t="s">
        <v>190</v>
      </c>
      <c r="C28" s="228" t="s">
        <v>264</v>
      </c>
      <c r="D28" s="228" t="s">
        <v>265</v>
      </c>
      <c r="E28" s="228" t="s">
        <v>157</v>
      </c>
      <c r="F28" s="228" t="s">
        <v>266</v>
      </c>
      <c r="G28" s="229" t="s">
        <v>267</v>
      </c>
      <c r="H28" s="229">
        <v>297835.30526749999</v>
      </c>
      <c r="I28" s="229">
        <v>429487.50564802642</v>
      </c>
      <c r="J28" s="229"/>
      <c r="K28" s="261">
        <f t="shared" si="2"/>
        <v>131652.20038052642</v>
      </c>
      <c r="L28" s="282">
        <f t="shared" si="3"/>
        <v>44.203020277358775</v>
      </c>
      <c r="M28" s="288" t="b">
        <f>A28=[3]FORM.2!$A$29</f>
        <v>1</v>
      </c>
      <c r="N28" s="289" t="b">
        <f>B28=[3]FORM.2!$B$29</f>
        <v>1</v>
      </c>
      <c r="O28" s="289" t="b">
        <v>1</v>
      </c>
      <c r="P28" s="289" t="b">
        <f>D28=[3]FORM.2!$F$29</f>
        <v>1</v>
      </c>
      <c r="Q28" s="289" t="b">
        <f>E28=[3]FORM.2!$G$29</f>
        <v>1</v>
      </c>
      <c r="R28" s="289" t="b">
        <f>F28=[3]FORM.2!$H$29</f>
        <v>1</v>
      </c>
      <c r="S28" s="290" t="b">
        <f>G28=[3]FORM.2!$I$29</f>
        <v>1</v>
      </c>
      <c r="T28" s="290" t="b">
        <f>H28=[3]FORM.2!$M$29</f>
        <v>1</v>
      </c>
      <c r="U28" s="313"/>
      <c r="V28" s="218"/>
      <c r="W28" s="218"/>
      <c r="X28" s="218"/>
      <c r="Y28" s="218"/>
      <c r="Z28" s="218"/>
      <c r="AA28" s="218"/>
      <c r="AB28" s="218"/>
      <c r="AC28" s="218"/>
      <c r="AD28" s="218"/>
      <c r="AE28" s="218"/>
    </row>
    <row r="29" spans="1:31" s="219" customFormat="1" ht="94.5">
      <c r="A29" s="226" t="s">
        <v>260</v>
      </c>
      <c r="B29" s="227" t="s">
        <v>229</v>
      </c>
      <c r="C29" s="228" t="s">
        <v>268</v>
      </c>
      <c r="D29" s="228" t="s">
        <v>269</v>
      </c>
      <c r="E29" s="228" t="s">
        <v>163</v>
      </c>
      <c r="F29" s="228" t="s">
        <v>199</v>
      </c>
      <c r="G29" s="229" t="s">
        <v>270</v>
      </c>
      <c r="H29" s="229">
        <v>150000</v>
      </c>
      <c r="I29" s="229">
        <v>50000</v>
      </c>
      <c r="J29" s="284"/>
      <c r="K29" s="261">
        <f t="shared" si="2"/>
        <v>-100000</v>
      </c>
      <c r="L29" s="282">
        <f t="shared" si="3"/>
        <v>-66.666666666666657</v>
      </c>
      <c r="M29" s="288" t="b">
        <f>A29=[3]FORM.2!$A$30</f>
        <v>1</v>
      </c>
      <c r="N29" s="289" t="b">
        <f>B29=[3]FORM.2!$B$30</f>
        <v>1</v>
      </c>
      <c r="O29" s="289" t="b">
        <f>C29=[3]FORM.2!$E$30</f>
        <v>1</v>
      </c>
      <c r="P29" s="289" t="b">
        <f>D29=[3]FORM.2!$F$30</f>
        <v>1</v>
      </c>
      <c r="Q29" s="289" t="b">
        <f>E29=[3]FORM.2!$G$30</f>
        <v>1</v>
      </c>
      <c r="R29" s="289" t="b">
        <f>F29=[3]FORM.2!$H$30</f>
        <v>1</v>
      </c>
      <c r="S29" s="290" t="b">
        <f>G29=[3]FORM.2!$I$30</f>
        <v>1</v>
      </c>
      <c r="T29" s="290" t="b">
        <f>H29=[3]FORM.2!$M$30</f>
        <v>1</v>
      </c>
      <c r="U29" s="313"/>
      <c r="V29" s="218"/>
      <c r="W29" s="218"/>
      <c r="X29" s="218"/>
      <c r="Y29" s="218"/>
      <c r="Z29" s="218"/>
      <c r="AA29" s="218"/>
      <c r="AB29" s="218"/>
      <c r="AC29" s="218"/>
      <c r="AD29" s="218"/>
      <c r="AE29" s="218"/>
    </row>
    <row r="30" spans="1:31" s="219" customFormat="1" ht="63">
      <c r="A30" s="226" t="s">
        <v>271</v>
      </c>
      <c r="B30" s="227" t="s">
        <v>190</v>
      </c>
      <c r="C30" s="228" t="s">
        <v>272</v>
      </c>
      <c r="D30" s="228" t="s">
        <v>273</v>
      </c>
      <c r="E30" s="228" t="s">
        <v>145</v>
      </c>
      <c r="F30" s="228" t="s">
        <v>199</v>
      </c>
      <c r="G30" s="229" t="s">
        <v>274</v>
      </c>
      <c r="H30" s="229">
        <v>327792.77593</v>
      </c>
      <c r="I30" s="229">
        <v>478741.18405553332</v>
      </c>
      <c r="J30" s="284"/>
      <c r="K30" s="261">
        <f t="shared" si="2"/>
        <v>150948.40812553331</v>
      </c>
      <c r="L30" s="282">
        <f t="shared" si="3"/>
        <v>46.049949605286081</v>
      </c>
      <c r="M30" s="288" t="b">
        <f>A30=[3]FORM.2!$A$42</f>
        <v>1</v>
      </c>
      <c r="N30" s="289" t="b">
        <f>B30=[3]FORM.2!$B$42</f>
        <v>1</v>
      </c>
      <c r="O30" s="289" t="b">
        <v>1</v>
      </c>
      <c r="P30" s="289" t="b">
        <f>D30=[3]FORM.2!$F$42</f>
        <v>1</v>
      </c>
      <c r="Q30" s="289" t="b">
        <f>E30=[3]FORM.2!$G$42</f>
        <v>1</v>
      </c>
      <c r="R30" s="289" t="b">
        <f>F30=[3]FORM.2!$H$42</f>
        <v>1</v>
      </c>
      <c r="S30" s="290" t="b">
        <f>G30=[3]FORM.2!$I$42</f>
        <v>1</v>
      </c>
      <c r="T30" s="290" t="b">
        <f>H30=[3]FORM.2!$M$42</f>
        <v>1</v>
      </c>
      <c r="U30" s="313"/>
      <c r="V30" s="218"/>
      <c r="W30" s="218"/>
      <c r="X30" s="218"/>
      <c r="Y30" s="218"/>
      <c r="Z30" s="218"/>
      <c r="AA30" s="218"/>
      <c r="AB30" s="218"/>
      <c r="AC30" s="218"/>
      <c r="AD30" s="218"/>
      <c r="AE30" s="218"/>
    </row>
    <row r="31" spans="1:31" s="219" customFormat="1" ht="47.25">
      <c r="A31" s="226" t="s">
        <v>275</v>
      </c>
      <c r="B31" s="227" t="s">
        <v>190</v>
      </c>
      <c r="C31" s="228" t="s">
        <v>276</v>
      </c>
      <c r="D31" s="228" t="s">
        <v>277</v>
      </c>
      <c r="E31" s="228" t="s">
        <v>30</v>
      </c>
      <c r="F31" s="228" t="s">
        <v>203</v>
      </c>
      <c r="G31" s="229" t="s">
        <v>278</v>
      </c>
      <c r="H31" s="229">
        <v>1249489.96</v>
      </c>
      <c r="I31" s="229">
        <v>1410281.7996340224</v>
      </c>
      <c r="J31" s="284"/>
      <c r="K31" s="261">
        <f t="shared" si="2"/>
        <v>160791.83963402244</v>
      </c>
      <c r="L31" s="282">
        <f t="shared" si="3"/>
        <v>12.86859797048889</v>
      </c>
      <c r="M31" s="288" t="b">
        <f>A31=[3]FORM.2!$A$33</f>
        <v>1</v>
      </c>
      <c r="N31" s="289" t="b">
        <f>B31=[3]FORM.2!$B$33</f>
        <v>1</v>
      </c>
      <c r="O31" s="289" t="b">
        <v>1</v>
      </c>
      <c r="P31" s="289" t="b">
        <f>D31=[3]FORM.2!$F$33</f>
        <v>1</v>
      </c>
      <c r="Q31" s="289" t="b">
        <f>E31=[3]FORM.2!$G$33</f>
        <v>1</v>
      </c>
      <c r="R31" s="289" t="b">
        <f>F31=[3]FORM.2!$H$33</f>
        <v>1</v>
      </c>
      <c r="S31" s="290" t="b">
        <f>G31=[3]FORM.2!$I$33</f>
        <v>1</v>
      </c>
      <c r="T31" s="290" t="b">
        <f>H31=[3]FORM.2!$M$33</f>
        <v>1</v>
      </c>
      <c r="U31" s="313"/>
      <c r="V31" s="218"/>
      <c r="W31" s="218"/>
      <c r="X31" s="218"/>
      <c r="Y31" s="218"/>
      <c r="Z31" s="218"/>
      <c r="AA31" s="218"/>
      <c r="AB31" s="218"/>
      <c r="AC31" s="218"/>
      <c r="AD31" s="218"/>
      <c r="AE31" s="218"/>
    </row>
    <row r="32" spans="1:31" s="219" customFormat="1" ht="78.75">
      <c r="A32" s="226" t="s">
        <v>279</v>
      </c>
      <c r="B32" s="227" t="s">
        <v>190</v>
      </c>
      <c r="C32" s="228" t="s">
        <v>280</v>
      </c>
      <c r="D32" s="228" t="s">
        <v>281</v>
      </c>
      <c r="E32" s="228" t="s">
        <v>30</v>
      </c>
      <c r="F32" s="228" t="s">
        <v>203</v>
      </c>
      <c r="G32" s="229" t="s">
        <v>282</v>
      </c>
      <c r="H32" s="229">
        <v>260000.00399999999</v>
      </c>
      <c r="I32" s="229">
        <v>200000</v>
      </c>
      <c r="J32" s="284"/>
      <c r="K32" s="261">
        <f t="shared" si="2"/>
        <v>-60000.003999999986</v>
      </c>
      <c r="L32" s="282">
        <f t="shared" si="3"/>
        <v>-23.076924260355007</v>
      </c>
      <c r="M32" s="288" t="b">
        <f>A32=[3]FORM.2!$A$34</f>
        <v>1</v>
      </c>
      <c r="N32" s="299" t="b">
        <f>B32=[3]FORM.2!$B$34</f>
        <v>1</v>
      </c>
      <c r="O32" s="289" t="b">
        <f>C32=[3]FORM.2!$E$34</f>
        <v>1</v>
      </c>
      <c r="P32" s="289" t="b">
        <f>D32=[3]FORM.2!$F$34</f>
        <v>1</v>
      </c>
      <c r="Q32" s="289" t="b">
        <f>E32=[3]FORM.2!$G$34</f>
        <v>1</v>
      </c>
      <c r="R32" s="289" t="b">
        <f>F32=[3]FORM.2!$H$34</f>
        <v>1</v>
      </c>
      <c r="S32" s="290" t="b">
        <f>G32=[3]FORM.2!$I$34</f>
        <v>1</v>
      </c>
      <c r="T32" s="290" t="b">
        <f>H32=[3]FORM.2!$M$34</f>
        <v>1</v>
      </c>
      <c r="U32" s="313"/>
      <c r="V32" s="218"/>
      <c r="W32" s="218"/>
      <c r="X32" s="218"/>
      <c r="Y32" s="218"/>
      <c r="Z32" s="218"/>
      <c r="AA32" s="218"/>
      <c r="AB32" s="218"/>
      <c r="AC32" s="218"/>
      <c r="AD32" s="218"/>
      <c r="AE32" s="218"/>
    </row>
    <row r="33" spans="1:31" s="219" customFormat="1" ht="47.25">
      <c r="A33" s="226" t="s">
        <v>283</v>
      </c>
      <c r="B33" s="227" t="s">
        <v>190</v>
      </c>
      <c r="C33" s="228" t="s">
        <v>284</v>
      </c>
      <c r="D33" s="242" t="s">
        <v>277</v>
      </c>
      <c r="E33" s="228" t="s">
        <v>30</v>
      </c>
      <c r="F33" s="228" t="s">
        <v>203</v>
      </c>
      <c r="G33" s="229" t="s">
        <v>285</v>
      </c>
      <c r="H33" s="229">
        <v>672962.27</v>
      </c>
      <c r="I33" s="263">
        <v>896349.2</v>
      </c>
      <c r="J33" s="284"/>
      <c r="K33" s="261">
        <f t="shared" si="2"/>
        <v>223386.92999999993</v>
      </c>
      <c r="L33" s="282">
        <f t="shared" si="3"/>
        <v>33.194569734199206</v>
      </c>
      <c r="M33" s="288" t="b">
        <f>A33=[3]FORM.2!$A$24</f>
        <v>1</v>
      </c>
      <c r="N33" s="289" t="b">
        <f>B33=[3]FORM.2!$B$24</f>
        <v>1</v>
      </c>
      <c r="O33" s="289" t="b">
        <f>C33=[3]FORM.2!$E$24</f>
        <v>1</v>
      </c>
      <c r="P33" s="299" t="b">
        <f>D33=[3]FORM.2!$F$24</f>
        <v>0</v>
      </c>
      <c r="Q33" s="289" t="b">
        <f>E33=[3]FORM.2!$G$24</f>
        <v>1</v>
      </c>
      <c r="R33" s="289" t="b">
        <f>F33=[3]FORM.2!$H$24</f>
        <v>1</v>
      </c>
      <c r="S33" s="290" t="b">
        <f>G33=[3]FORM.2!$I$24</f>
        <v>1</v>
      </c>
      <c r="T33" s="290" t="b">
        <f>H33=[3]FORM.2!$M$24</f>
        <v>1</v>
      </c>
      <c r="U33" s="314">
        <f>'Diretrizes - Resumo'!AN3</f>
        <v>896349.2</v>
      </c>
      <c r="V33" s="218" t="b">
        <f>U33=I33</f>
        <v>1</v>
      </c>
      <c r="W33" s="218"/>
      <c r="X33" s="218"/>
      <c r="Y33" s="218"/>
      <c r="Z33" s="218"/>
      <c r="AA33" s="218"/>
      <c r="AB33" s="218"/>
      <c r="AC33" s="218"/>
      <c r="AD33" s="218"/>
      <c r="AE33" s="218"/>
    </row>
    <row r="34" spans="1:31" s="219" customFormat="1" ht="78.75">
      <c r="A34" s="226" t="s">
        <v>286</v>
      </c>
      <c r="B34" s="227" t="s">
        <v>190</v>
      </c>
      <c r="C34" s="228" t="s">
        <v>287</v>
      </c>
      <c r="D34" s="228" t="s">
        <v>288</v>
      </c>
      <c r="E34" s="228" t="s">
        <v>253</v>
      </c>
      <c r="F34" s="228" t="s">
        <v>203</v>
      </c>
      <c r="G34" s="229" t="s">
        <v>289</v>
      </c>
      <c r="H34" s="229">
        <v>1515569.5165927799</v>
      </c>
      <c r="I34" s="229">
        <v>1726044.5228844699</v>
      </c>
      <c r="J34" s="284"/>
      <c r="K34" s="261">
        <f t="shared" si="2"/>
        <v>210475.00629169005</v>
      </c>
      <c r="L34" s="282">
        <f t="shared" si="3"/>
        <v>13.887519113268285</v>
      </c>
      <c r="M34" s="288" t="b">
        <f>A34=[3]FORM.2!$A$32</f>
        <v>1</v>
      </c>
      <c r="N34" s="289" t="b">
        <f>B34=[3]FORM.2!$B$32</f>
        <v>1</v>
      </c>
      <c r="O34" s="289" t="b">
        <v>1</v>
      </c>
      <c r="P34" s="289" t="b">
        <f>D34=[3]FORM.2!$F$32</f>
        <v>1</v>
      </c>
      <c r="Q34" s="289" t="b">
        <f>E34=[3]FORM.2!$G$32</f>
        <v>1</v>
      </c>
      <c r="R34" s="289" t="b">
        <f>F34=[3]FORM.2!$H$32</f>
        <v>1</v>
      </c>
      <c r="S34" s="290" t="b">
        <v>1</v>
      </c>
      <c r="T34" s="290" t="b">
        <f>H34=[3]FORM.2!$M$32</f>
        <v>1</v>
      </c>
      <c r="U34" s="313"/>
      <c r="V34" s="218"/>
      <c r="W34" s="218"/>
      <c r="X34" s="218"/>
      <c r="Y34" s="218"/>
      <c r="Z34" s="218"/>
      <c r="AA34" s="218"/>
      <c r="AB34" s="218"/>
      <c r="AC34" s="218"/>
      <c r="AD34" s="218"/>
      <c r="AE34" s="218"/>
    </row>
    <row r="35" spans="1:31" s="219" customFormat="1" ht="47.25">
      <c r="A35" s="226" t="s">
        <v>290</v>
      </c>
      <c r="B35" s="227" t="s">
        <v>190</v>
      </c>
      <c r="C35" s="228" t="s">
        <v>291</v>
      </c>
      <c r="D35" s="228" t="s">
        <v>292</v>
      </c>
      <c r="E35" s="228" t="s">
        <v>253</v>
      </c>
      <c r="F35" s="228" t="s">
        <v>199</v>
      </c>
      <c r="G35" s="229" t="s">
        <v>285</v>
      </c>
      <c r="H35" s="229">
        <v>101585.59</v>
      </c>
      <c r="I35" s="229">
        <v>111232.17</v>
      </c>
      <c r="J35" s="284"/>
      <c r="K35" s="261">
        <f t="shared" si="2"/>
        <v>9646.5800000000017</v>
      </c>
      <c r="L35" s="282">
        <f t="shared" si="3"/>
        <v>9.4960121804677229</v>
      </c>
      <c r="M35" s="288" t="b">
        <f>A35=[3]FORM.2!$A$25</f>
        <v>1</v>
      </c>
      <c r="N35" s="289" t="b">
        <f>B35=[3]FORM.2!$B$25</f>
        <v>1</v>
      </c>
      <c r="O35" s="289" t="b">
        <f>C35=[3]FORM.2!$E$25</f>
        <v>1</v>
      </c>
      <c r="P35" s="289" t="b">
        <f>D35=[3]FORM.2!$F$25</f>
        <v>1</v>
      </c>
      <c r="Q35" s="289" t="b">
        <f>E35=[3]FORM.2!$G$25</f>
        <v>1</v>
      </c>
      <c r="R35" s="289" t="b">
        <f>F35=[3]FORM.2!$H$25</f>
        <v>1</v>
      </c>
      <c r="S35" s="290" t="b">
        <f>G35=[3]FORM.2!$I$25</f>
        <v>1</v>
      </c>
      <c r="T35" s="290" t="b">
        <f>H35=[3]FORM.2!$M$25</f>
        <v>1</v>
      </c>
      <c r="U35" s="314">
        <v>111232.17</v>
      </c>
      <c r="V35" s="218" t="b">
        <f>U35=I35</f>
        <v>1</v>
      </c>
      <c r="W35" s="218"/>
      <c r="X35" s="218"/>
      <c r="Y35" s="218"/>
      <c r="Z35" s="218"/>
      <c r="AA35" s="218"/>
      <c r="AB35" s="218"/>
      <c r="AC35" s="218"/>
      <c r="AD35" s="218"/>
      <c r="AE35" s="218"/>
    </row>
    <row r="36" spans="1:31" s="219" customFormat="1" ht="78.75">
      <c r="A36" s="226" t="s">
        <v>293</v>
      </c>
      <c r="B36" s="227" t="s">
        <v>190</v>
      </c>
      <c r="C36" s="228" t="s">
        <v>294</v>
      </c>
      <c r="D36" s="228" t="s">
        <v>295</v>
      </c>
      <c r="E36" s="228" t="s">
        <v>145</v>
      </c>
      <c r="F36" s="228" t="s">
        <v>199</v>
      </c>
      <c r="G36" s="229" t="s">
        <v>296</v>
      </c>
      <c r="H36" s="229">
        <v>568925.20337999996</v>
      </c>
      <c r="I36" s="229">
        <v>657253.94301846705</v>
      </c>
      <c r="J36" s="284"/>
      <c r="K36" s="261">
        <f t="shared" si="2"/>
        <v>88328.739638467086</v>
      </c>
      <c r="L36" s="282">
        <f t="shared" si="3"/>
        <v>15.525545205890628</v>
      </c>
      <c r="M36" s="288" t="b">
        <f>A36=[3]FORM.2!$A$31</f>
        <v>1</v>
      </c>
      <c r="N36" s="289" t="b">
        <f>B36=[3]FORM.2!$B$31</f>
        <v>1</v>
      </c>
      <c r="O36" s="289" t="b">
        <f>C36=[3]FORM.2!$E$31</f>
        <v>1</v>
      </c>
      <c r="P36" s="289" t="b">
        <f>D36=[3]FORM.2!$F$31</f>
        <v>1</v>
      </c>
      <c r="Q36" s="289" t="b">
        <f>E36=[3]FORM.2!$G$31</f>
        <v>1</v>
      </c>
      <c r="R36" s="289" t="b">
        <f>F36=[3]FORM.2!$H$31</f>
        <v>1</v>
      </c>
      <c r="S36" s="290" t="b">
        <f>G36=[3]FORM.2!$I$31</f>
        <v>1</v>
      </c>
      <c r="T36" s="290" t="b">
        <f>H36=[3]FORM.2!$M$31</f>
        <v>1</v>
      </c>
      <c r="U36" s="313"/>
      <c r="V36" s="218"/>
      <c r="W36" s="218"/>
      <c r="X36" s="218"/>
      <c r="Y36" s="218"/>
      <c r="Z36" s="218"/>
      <c r="AA36" s="218"/>
      <c r="AB36" s="218"/>
      <c r="AC36" s="218"/>
      <c r="AD36" s="218"/>
      <c r="AE36" s="218"/>
    </row>
    <row r="37" spans="1:31" s="219" customFormat="1" ht="31.5">
      <c r="A37" s="226" t="s">
        <v>297</v>
      </c>
      <c r="B37" s="227" t="s">
        <v>190</v>
      </c>
      <c r="C37" s="228" t="s">
        <v>298</v>
      </c>
      <c r="D37" s="228" t="s">
        <v>299</v>
      </c>
      <c r="E37" s="228" t="s">
        <v>128</v>
      </c>
      <c r="F37" s="228" t="s">
        <v>199</v>
      </c>
      <c r="G37" s="229" t="s">
        <v>300</v>
      </c>
      <c r="H37" s="229">
        <v>217058.38</v>
      </c>
      <c r="I37" s="229">
        <v>207992.07</v>
      </c>
      <c r="J37" s="284"/>
      <c r="K37" s="261">
        <f t="shared" si="2"/>
        <v>-9066.3099999999977</v>
      </c>
      <c r="L37" s="282">
        <f t="shared" si="3"/>
        <v>-4.1768993208186656</v>
      </c>
      <c r="M37" s="288" t="b">
        <f>A37=[3]FORM.2!$A$23</f>
        <v>1</v>
      </c>
      <c r="N37" s="289" t="b">
        <f>B37=[3]FORM.2!$B$23</f>
        <v>1</v>
      </c>
      <c r="O37" s="289" t="b">
        <f>C37=[3]FORM.2!$E$23</f>
        <v>1</v>
      </c>
      <c r="P37" s="289" t="b">
        <f>D37=[3]FORM.2!$F$23</f>
        <v>1</v>
      </c>
      <c r="Q37" s="289" t="b">
        <f>E37=[3]FORM.2!$G$23</f>
        <v>1</v>
      </c>
      <c r="R37" s="289" t="b">
        <f>F37=[3]FORM.2!$H$23</f>
        <v>1</v>
      </c>
      <c r="S37" s="290" t="b">
        <f>G37=[3]FORM.2!$I$23</f>
        <v>1</v>
      </c>
      <c r="T37" s="290" t="b">
        <f>H37=[3]FORM.2!$M$23</f>
        <v>1</v>
      </c>
      <c r="U37" s="314">
        <v>207992.07</v>
      </c>
      <c r="V37" s="218" t="b">
        <f>U37=I37</f>
        <v>1</v>
      </c>
      <c r="W37" s="218"/>
      <c r="X37" s="218"/>
      <c r="Y37" s="218"/>
      <c r="Z37" s="218"/>
      <c r="AA37" s="218"/>
      <c r="AB37" s="218"/>
      <c r="AC37" s="218"/>
      <c r="AD37" s="218"/>
      <c r="AE37" s="218"/>
    </row>
    <row r="38" spans="1:31" s="219" customFormat="1" ht="31.5">
      <c r="A38" s="226" t="s">
        <v>297</v>
      </c>
      <c r="B38" s="227" t="s">
        <v>190</v>
      </c>
      <c r="C38" s="228" t="s">
        <v>301</v>
      </c>
      <c r="D38" s="228" t="s">
        <v>302</v>
      </c>
      <c r="E38" s="228" t="s">
        <v>128</v>
      </c>
      <c r="F38" s="228" t="s">
        <v>199</v>
      </c>
      <c r="G38" s="229" t="s">
        <v>303</v>
      </c>
      <c r="H38" s="229">
        <v>80000</v>
      </c>
      <c r="I38" s="229">
        <v>30000</v>
      </c>
      <c r="J38" s="284"/>
      <c r="K38" s="261">
        <f t="shared" si="2"/>
        <v>-50000</v>
      </c>
      <c r="L38" s="282">
        <f t="shared" si="3"/>
        <v>-62.5</v>
      </c>
      <c r="M38" s="288" t="b">
        <f>A38=[3]FORM.2!$A$26</f>
        <v>1</v>
      </c>
      <c r="N38" s="289" t="b">
        <f>B38=[3]FORM.2!$B$26</f>
        <v>1</v>
      </c>
      <c r="O38" s="289" t="b">
        <f>C38=[3]FORM.2!$E$26</f>
        <v>1</v>
      </c>
      <c r="P38" s="289" t="b">
        <f>D38=[3]FORM.2!$F$26</f>
        <v>1</v>
      </c>
      <c r="Q38" s="289" t="b">
        <f>E38=[3]FORM.2!$G$26</f>
        <v>1</v>
      </c>
      <c r="R38" s="289" t="b">
        <f>F38=[3]FORM.2!$H$26</f>
        <v>1</v>
      </c>
      <c r="S38" s="290" t="b">
        <f>G38=[3]FORM.2!$I$26</f>
        <v>1</v>
      </c>
      <c r="T38" s="290" t="b">
        <f>H38=[3]FORM.2!$M$26</f>
        <v>1</v>
      </c>
      <c r="U38" s="313"/>
      <c r="V38" s="218"/>
      <c r="W38" s="218"/>
      <c r="X38" s="218"/>
      <c r="Y38" s="218"/>
      <c r="Z38" s="218"/>
      <c r="AA38" s="218"/>
      <c r="AB38" s="218"/>
      <c r="AC38" s="218"/>
      <c r="AD38" s="218"/>
      <c r="AE38" s="218"/>
    </row>
    <row r="39" spans="1:31" s="219" customFormat="1" ht="94.5">
      <c r="A39" s="226" t="s">
        <v>297</v>
      </c>
      <c r="B39" s="227" t="s">
        <v>190</v>
      </c>
      <c r="C39" s="228" t="s">
        <v>304</v>
      </c>
      <c r="D39" s="242" t="s">
        <v>305</v>
      </c>
      <c r="E39" s="242" t="s">
        <v>128</v>
      </c>
      <c r="F39" s="242" t="s">
        <v>199</v>
      </c>
      <c r="G39" s="263" t="s">
        <v>306</v>
      </c>
      <c r="H39" s="229">
        <v>2168042.2361380602</v>
      </c>
      <c r="I39" s="229">
        <v>2342617.8522336166</v>
      </c>
      <c r="J39" s="284"/>
      <c r="K39" s="261">
        <f t="shared" si="2"/>
        <v>174575.61609555641</v>
      </c>
      <c r="L39" s="282">
        <f t="shared" si="3"/>
        <v>8.0522239459009999</v>
      </c>
      <c r="M39" s="288" t="b">
        <f>A39=[3]FORM.2!$A$22</f>
        <v>1</v>
      </c>
      <c r="N39" s="289" t="b">
        <f>B39=[3]FORM.2!$B$22</f>
        <v>1</v>
      </c>
      <c r="O39" s="289" t="b">
        <f>C39=[3]FORM.2!$E$22</f>
        <v>1</v>
      </c>
      <c r="P39" s="289" t="b">
        <f>D39=[3]FORM.2!$F$22</f>
        <v>1</v>
      </c>
      <c r="Q39" s="289" t="b">
        <f>E39=[3]FORM.2!$G$22</f>
        <v>1</v>
      </c>
      <c r="R39" s="289" t="b">
        <f>F39=[3]FORM.2!$H$22</f>
        <v>1</v>
      </c>
      <c r="S39" s="300" t="b">
        <f>G39=[3]FORM.2!$I$22</f>
        <v>0</v>
      </c>
      <c r="T39" s="290" t="b">
        <f>H39=[3]FORM.2!$M$22</f>
        <v>1</v>
      </c>
      <c r="U39" s="313"/>
      <c r="V39" s="218"/>
      <c r="W39" s="218"/>
      <c r="X39" s="218"/>
      <c r="Y39" s="218"/>
      <c r="Z39" s="218"/>
      <c r="AA39" s="218"/>
      <c r="AB39" s="218"/>
      <c r="AC39" s="218"/>
      <c r="AD39" s="218"/>
      <c r="AE39" s="218"/>
    </row>
    <row r="40" spans="1:31" s="219" customFormat="1" ht="173.25">
      <c r="A40" s="226" t="s">
        <v>307</v>
      </c>
      <c r="B40" s="227" t="s">
        <v>190</v>
      </c>
      <c r="C40" s="228" t="s">
        <v>308</v>
      </c>
      <c r="D40" s="242" t="s">
        <v>308</v>
      </c>
      <c r="E40" s="242" t="s">
        <v>145</v>
      </c>
      <c r="F40" s="242" t="s">
        <v>232</v>
      </c>
      <c r="G40" s="242" t="s">
        <v>309</v>
      </c>
      <c r="H40" s="229">
        <v>359339.42867027799</v>
      </c>
      <c r="I40" s="229">
        <v>478799.56025126675</v>
      </c>
      <c r="J40" s="284"/>
      <c r="K40" s="261">
        <f t="shared" si="2"/>
        <v>119460.13158098876</v>
      </c>
      <c r="L40" s="282">
        <f t="shared" si="3"/>
        <v>33.244370656191691</v>
      </c>
      <c r="M40" s="288" t="b">
        <f>A40=[3]FORM.2!$A$27</f>
        <v>1</v>
      </c>
      <c r="N40" s="289" t="b">
        <f>B40=[3]FORM.2!$B$27</f>
        <v>1</v>
      </c>
      <c r="O40" s="289" t="b">
        <f>C40=[3]FORM.2!$E$27</f>
        <v>1</v>
      </c>
      <c r="P40" s="299" t="b">
        <f>D40=[3]FORM.2!$F$27</f>
        <v>0</v>
      </c>
      <c r="Q40" s="289" t="b">
        <f>E40=[3]FORM.2!$G$27</f>
        <v>1</v>
      </c>
      <c r="R40" s="289" t="b">
        <f>F40=[3]FORM.2!$H$27</f>
        <v>1</v>
      </c>
      <c r="S40" s="290" t="b">
        <f>G40=[3]FORM.2!$I$27</f>
        <v>1</v>
      </c>
      <c r="T40" s="290" t="b">
        <f>H40=[3]FORM.2!$M$27</f>
        <v>1</v>
      </c>
      <c r="U40" s="313"/>
      <c r="V40" s="218"/>
      <c r="W40" s="218"/>
      <c r="X40" s="218"/>
      <c r="Y40" s="218"/>
      <c r="Z40" s="218"/>
      <c r="AA40" s="218"/>
      <c r="AB40" s="218"/>
      <c r="AC40" s="218"/>
      <c r="AD40" s="218"/>
      <c r="AE40" s="218"/>
    </row>
    <row r="41" spans="1:31" s="219" customFormat="1" ht="252">
      <c r="A41" s="226" t="s">
        <v>310</v>
      </c>
      <c r="B41" s="227" t="s">
        <v>190</v>
      </c>
      <c r="C41" s="228" t="s">
        <v>311</v>
      </c>
      <c r="D41" s="242" t="s">
        <v>312</v>
      </c>
      <c r="E41" s="242" t="s">
        <v>253</v>
      </c>
      <c r="F41" s="242" t="s">
        <v>203</v>
      </c>
      <c r="G41" s="8" t="s">
        <v>313</v>
      </c>
      <c r="H41" s="229">
        <v>119978.3893</v>
      </c>
      <c r="I41" s="263">
        <v>141851.10302906667</v>
      </c>
      <c r="J41" s="284"/>
      <c r="K41" s="261">
        <f t="shared" si="2"/>
        <v>21872.713729066672</v>
      </c>
      <c r="L41" s="282">
        <f t="shared" si="3"/>
        <v>18.230544564467387</v>
      </c>
      <c r="M41" s="288" t="b">
        <f>A41=[3]FORM.2!$A$18</f>
        <v>1</v>
      </c>
      <c r="N41" s="289" t="b">
        <f>B41=[3]FORM.2!$B$18</f>
        <v>1</v>
      </c>
      <c r="O41" s="289" t="b">
        <f>C41=[3]FORM.2!$E$18</f>
        <v>1</v>
      </c>
      <c r="P41" s="289" t="b">
        <f>[3]FORM.2!$F$18=D41</f>
        <v>1</v>
      </c>
      <c r="Q41" s="299" t="str">
        <f t="shared" ref="Q41:Q45" si="6">E41</f>
        <v>Assegurar a eficácia no atendimento e no relacionamento com os Arquitetos e Urbanistas e a Sociedade</v>
      </c>
      <c r="R41" s="289" t="b">
        <f>F41=[3]FORM.2!$H$18</f>
        <v>1</v>
      </c>
      <c r="S41" s="290" t="b">
        <f>G41=[3]FORM.2!$I$18</f>
        <v>1</v>
      </c>
      <c r="T41" s="290" t="b">
        <f>H41=[3]FORM.2!$M$18</f>
        <v>1</v>
      </c>
      <c r="U41" s="313"/>
      <c r="V41" s="218"/>
      <c r="W41" s="218"/>
      <c r="X41" s="218"/>
      <c r="Y41" s="218"/>
      <c r="Z41" s="218"/>
      <c r="AA41" s="218"/>
      <c r="AB41" s="218"/>
      <c r="AC41" s="218"/>
      <c r="AD41" s="218"/>
      <c r="AE41" s="218"/>
    </row>
    <row r="42" spans="1:31" s="219" customFormat="1" ht="252">
      <c r="A42" s="226" t="s">
        <v>314</v>
      </c>
      <c r="B42" s="227" t="s">
        <v>190</v>
      </c>
      <c r="C42" s="228" t="s">
        <v>315</v>
      </c>
      <c r="D42" s="242" t="s">
        <v>316</v>
      </c>
      <c r="E42" s="242" t="s">
        <v>253</v>
      </c>
      <c r="F42" s="242" t="s">
        <v>203</v>
      </c>
      <c r="G42" s="8" t="s">
        <v>313</v>
      </c>
      <c r="H42" s="229">
        <v>139954.86141000001</v>
      </c>
      <c r="I42" s="263">
        <v>167381.19541704445</v>
      </c>
      <c r="J42" s="284"/>
      <c r="K42" s="261">
        <f t="shared" si="2"/>
        <v>27426.334007044439</v>
      </c>
      <c r="L42" s="282">
        <f t="shared" si="3"/>
        <v>19.59655686893116</v>
      </c>
      <c r="M42" s="288" t="b">
        <f>A42=[3]FORM.2!$A$20</f>
        <v>1</v>
      </c>
      <c r="N42" s="289" t="b">
        <f>B42=[3]FORM.2!$B$20</f>
        <v>1</v>
      </c>
      <c r="O42" s="289" t="b">
        <f>C42=[3]FORM.2!$E$20</f>
        <v>1</v>
      </c>
      <c r="P42" s="289" t="b">
        <f>D42=[3]FORM.2!$F$20</f>
        <v>1</v>
      </c>
      <c r="Q42" s="299" t="str">
        <f t="shared" si="6"/>
        <v>Assegurar a eficácia no atendimento e no relacionamento com os Arquitetos e Urbanistas e a Sociedade</v>
      </c>
      <c r="R42" s="289" t="b">
        <f>F42=[3]FORM.2!$H$20</f>
        <v>1</v>
      </c>
      <c r="S42" s="290" t="b">
        <f>G42=[3]FORM.2!$I$20</f>
        <v>1</v>
      </c>
      <c r="T42" s="290" t="b">
        <f>H42=[3]FORM.2!$M$20</f>
        <v>1</v>
      </c>
      <c r="U42" s="313"/>
      <c r="V42" s="218"/>
      <c r="W42" s="218"/>
      <c r="X42" s="218"/>
      <c r="Y42" s="218"/>
      <c r="Z42" s="218"/>
      <c r="AA42" s="218"/>
      <c r="AB42" s="218"/>
      <c r="AC42" s="218"/>
      <c r="AD42" s="218"/>
      <c r="AE42" s="218"/>
    </row>
    <row r="43" spans="1:31" s="219" customFormat="1" ht="252">
      <c r="A43" s="226" t="s">
        <v>317</v>
      </c>
      <c r="B43" s="227" t="s">
        <v>190</v>
      </c>
      <c r="C43" s="228" t="s">
        <v>318</v>
      </c>
      <c r="D43" s="242" t="s">
        <v>319</v>
      </c>
      <c r="E43" s="242" t="s">
        <v>253</v>
      </c>
      <c r="F43" s="242" t="s">
        <v>203</v>
      </c>
      <c r="G43" s="8" t="s">
        <v>313</v>
      </c>
      <c r="H43" s="229">
        <v>77950.131818888898</v>
      </c>
      <c r="I43" s="263">
        <v>104181.17973704444</v>
      </c>
      <c r="J43" s="284"/>
      <c r="K43" s="261">
        <f t="shared" si="2"/>
        <v>26231.047918155542</v>
      </c>
      <c r="L43" s="282">
        <f t="shared" si="3"/>
        <v>33.651062937393554</v>
      </c>
      <c r="M43" s="288" t="b">
        <f>A43=[3]FORM.2!$A$21</f>
        <v>1</v>
      </c>
      <c r="N43" s="289" t="b">
        <f>B43=[3]FORM.2!$B$21</f>
        <v>1</v>
      </c>
      <c r="O43" s="289" t="b">
        <f>C43=[3]FORM.2!$E$21</f>
        <v>1</v>
      </c>
      <c r="P43" s="289" t="b">
        <f>D43=[3]FORM.2!$F$21</f>
        <v>1</v>
      </c>
      <c r="Q43" s="299" t="str">
        <f t="shared" si="6"/>
        <v>Assegurar a eficácia no atendimento e no relacionamento com os Arquitetos e Urbanistas e a Sociedade</v>
      </c>
      <c r="R43" s="289" t="b">
        <f>F43=[3]FORM.2!$H$21</f>
        <v>1</v>
      </c>
      <c r="S43" s="290" t="b">
        <f>G43=[3]FORM.2!$I$21</f>
        <v>1</v>
      </c>
      <c r="T43" s="290" t="b">
        <f>H43=[3]FORM.2!$M$21</f>
        <v>1</v>
      </c>
      <c r="U43" s="313"/>
      <c r="V43" s="218"/>
      <c r="W43" s="218"/>
      <c r="X43" s="218"/>
      <c r="Y43" s="218"/>
      <c r="Z43" s="218"/>
      <c r="AA43" s="218"/>
      <c r="AB43" s="218"/>
      <c r="AC43" s="218"/>
      <c r="AD43" s="218"/>
      <c r="AE43" s="218"/>
    </row>
    <row r="44" spans="1:31" s="219" customFormat="1" ht="252">
      <c r="A44" s="226" t="s">
        <v>320</v>
      </c>
      <c r="B44" s="227" t="s">
        <v>190</v>
      </c>
      <c r="C44" s="228" t="s">
        <v>321</v>
      </c>
      <c r="D44" s="242" t="s">
        <v>322</v>
      </c>
      <c r="E44" s="242" t="s">
        <v>253</v>
      </c>
      <c r="F44" s="242" t="s">
        <v>203</v>
      </c>
      <c r="G44" s="8" t="s">
        <v>313</v>
      </c>
      <c r="H44" s="229">
        <v>103302.95505999999</v>
      </c>
      <c r="I44" s="263">
        <v>110307.14101704444</v>
      </c>
      <c r="J44" s="284"/>
      <c r="K44" s="261">
        <f t="shared" ref="K44:K47" si="7">I44-H44</f>
        <v>7004.1859570444503</v>
      </c>
      <c r="L44" s="282">
        <f t="shared" ref="L44:L47" si="8">IFERROR(K44/H44*100,)</f>
        <v>6.7802377511624021</v>
      </c>
      <c r="M44" s="288" t="b">
        <f>A44=[3]FORM.2!$A$19</f>
        <v>1</v>
      </c>
      <c r="N44" s="289" t="b">
        <f>B44=[3]FORM.2!$B$19</f>
        <v>1</v>
      </c>
      <c r="O44" s="289" t="b">
        <f>C44=[3]FORM.2!$E$19</f>
        <v>1</v>
      </c>
      <c r="P44" s="289" t="b">
        <f>D44=[3]FORM.2!$F$19</f>
        <v>1</v>
      </c>
      <c r="Q44" s="299" t="str">
        <f t="shared" si="6"/>
        <v>Assegurar a eficácia no atendimento e no relacionamento com os Arquitetos e Urbanistas e a Sociedade</v>
      </c>
      <c r="R44" s="289" t="b">
        <f>F44=[3]FORM.2!$H$19</f>
        <v>1</v>
      </c>
      <c r="S44" s="290" t="b">
        <f>G44=[3]FORM.2!$I$19</f>
        <v>1</v>
      </c>
      <c r="T44" s="290" t="b">
        <f>H44=[3]FORM.2!$M$19</f>
        <v>1</v>
      </c>
      <c r="U44" s="313"/>
      <c r="V44" s="218"/>
      <c r="W44" s="218"/>
      <c r="X44" s="218"/>
      <c r="Y44" s="218"/>
      <c r="Z44" s="218"/>
      <c r="AA44" s="218"/>
      <c r="AB44" s="218"/>
      <c r="AC44" s="218"/>
      <c r="AD44" s="218"/>
      <c r="AE44" s="218"/>
    </row>
    <row r="45" spans="1:31" s="219" customFormat="1" ht="252">
      <c r="A45" s="226" t="s">
        <v>323</v>
      </c>
      <c r="B45" s="227" t="s">
        <v>190</v>
      </c>
      <c r="C45" s="228" t="s">
        <v>324</v>
      </c>
      <c r="D45" s="242" t="s">
        <v>325</v>
      </c>
      <c r="E45" s="242" t="s">
        <v>253</v>
      </c>
      <c r="F45" s="242" t="s">
        <v>203</v>
      </c>
      <c r="G45" s="8" t="s">
        <v>313</v>
      </c>
      <c r="H45" s="229">
        <v>119491.66305</v>
      </c>
      <c r="I45" s="263">
        <v>123755.06069206668</v>
      </c>
      <c r="J45" s="284"/>
      <c r="K45" s="261">
        <f t="shared" si="7"/>
        <v>4263.3976420666731</v>
      </c>
      <c r="L45" s="282">
        <f t="shared" si="8"/>
        <v>3.5679456903053568</v>
      </c>
      <c r="M45" s="288" t="b">
        <f>A45=[3]FORM.2!$A$17</f>
        <v>1</v>
      </c>
      <c r="N45" s="289" t="b">
        <f>B45=[3]FORM.2!$B$17</f>
        <v>1</v>
      </c>
      <c r="O45" s="289" t="b">
        <f>C45=[3]FORM.2!$E$17</f>
        <v>1</v>
      </c>
      <c r="P45" s="289" t="b">
        <f>D45=[3]FORM.2!$F$17</f>
        <v>1</v>
      </c>
      <c r="Q45" s="299" t="str">
        <f t="shared" si="6"/>
        <v>Assegurar a eficácia no atendimento e no relacionamento com os Arquitetos e Urbanistas e a Sociedade</v>
      </c>
      <c r="R45" s="289" t="b">
        <f>F45=[3]FORM.2!$H$17</f>
        <v>1</v>
      </c>
      <c r="S45" s="290" t="b">
        <f>G45=[3]FORM.2!$I$17</f>
        <v>1</v>
      </c>
      <c r="T45" s="290" t="b">
        <f>H45=[3]FORM.2!$M$17</f>
        <v>1</v>
      </c>
      <c r="U45" s="313"/>
      <c r="V45" s="218"/>
      <c r="W45" s="218"/>
      <c r="X45" s="218"/>
      <c r="Y45" s="218"/>
      <c r="Z45" s="218"/>
      <c r="AA45" s="218"/>
      <c r="AB45" s="218"/>
      <c r="AC45" s="218"/>
      <c r="AD45" s="218"/>
      <c r="AE45" s="218"/>
    </row>
    <row r="46" spans="1:31" s="219" customFormat="1" ht="126">
      <c r="A46" s="226" t="s">
        <v>326</v>
      </c>
      <c r="B46" s="227" t="s">
        <v>190</v>
      </c>
      <c r="C46" s="228" t="s">
        <v>327</v>
      </c>
      <c r="D46" s="228" t="s">
        <v>328</v>
      </c>
      <c r="E46" s="228" t="s">
        <v>329</v>
      </c>
      <c r="F46" s="228" t="s">
        <v>232</v>
      </c>
      <c r="G46" s="237" t="s">
        <v>330</v>
      </c>
      <c r="H46" s="229">
        <v>16000</v>
      </c>
      <c r="I46" s="229">
        <v>18000</v>
      </c>
      <c r="J46" s="284"/>
      <c r="K46" s="261">
        <f t="shared" si="7"/>
        <v>2000</v>
      </c>
      <c r="L46" s="282">
        <f t="shared" si="8"/>
        <v>12.5</v>
      </c>
      <c r="M46" s="288" t="b">
        <f>A46=[3]FORM.2!$A$8</f>
        <v>1</v>
      </c>
      <c r="N46" s="289" t="b">
        <f>B46=[3]FORM.2!$B$8</f>
        <v>1</v>
      </c>
      <c r="O46" s="289" t="b">
        <f>C46=[3]FORM.2!$E$8</f>
        <v>1</v>
      </c>
      <c r="P46" s="289" t="b">
        <f>D46=[3]FORM.2!$F$8</f>
        <v>1</v>
      </c>
      <c r="Q46" s="289" t="b">
        <f>E46=[3]FORM.2!$G$8</f>
        <v>1</v>
      </c>
      <c r="R46" s="289" t="b">
        <f>F46=[3]FORM.2!$H$8</f>
        <v>1</v>
      </c>
      <c r="S46" s="290" t="b">
        <f>G46=[3]FORM.2!$I$8</f>
        <v>1</v>
      </c>
      <c r="T46" s="290" t="b">
        <f>H46=[3]FORM.2!$M$8</f>
        <v>1</v>
      </c>
      <c r="U46" s="313"/>
      <c r="V46" s="218"/>
      <c r="W46" s="218"/>
      <c r="X46" s="218"/>
      <c r="Y46" s="218"/>
      <c r="Z46" s="218"/>
      <c r="AA46" s="218"/>
      <c r="AB46" s="218"/>
      <c r="AC46" s="218"/>
      <c r="AD46" s="218"/>
      <c r="AE46" s="218"/>
    </row>
    <row r="47" spans="1:31" s="219" customFormat="1" ht="63">
      <c r="A47" s="226" t="s">
        <v>326</v>
      </c>
      <c r="B47" s="227" t="s">
        <v>229</v>
      </c>
      <c r="C47" s="228" t="s">
        <v>331</v>
      </c>
      <c r="D47" s="228" t="s">
        <v>332</v>
      </c>
      <c r="E47" s="228" t="s">
        <v>75</v>
      </c>
      <c r="F47" s="228" t="s">
        <v>199</v>
      </c>
      <c r="G47" s="237" t="s">
        <v>333</v>
      </c>
      <c r="H47" s="229">
        <v>100000</v>
      </c>
      <c r="I47" s="229">
        <v>100000</v>
      </c>
      <c r="J47" s="284"/>
      <c r="K47" s="261">
        <f t="shared" si="7"/>
        <v>0</v>
      </c>
      <c r="L47" s="282">
        <f t="shared" si="8"/>
        <v>0</v>
      </c>
      <c r="M47" s="288" t="b">
        <f>A47=[3]FORM.2!$A$9</f>
        <v>1</v>
      </c>
      <c r="N47" s="289" t="b">
        <f>B47=[3]FORM.2!$B$9</f>
        <v>1</v>
      </c>
      <c r="O47" s="289" t="b">
        <f>C47=[3]FORM.2!$E$9</f>
        <v>1</v>
      </c>
      <c r="P47" s="289" t="b">
        <f>D47=[3]FORM.2!$F$9</f>
        <v>1</v>
      </c>
      <c r="Q47" s="289" t="b">
        <f>E47=[3]FORM.2!$G$9</f>
        <v>1</v>
      </c>
      <c r="R47" s="289" t="b">
        <f>F47=[3]FORM.2!$H$9</f>
        <v>1</v>
      </c>
      <c r="S47" s="290" t="b">
        <f>G47=[3]FORM.2!$I$9</f>
        <v>1</v>
      </c>
      <c r="T47" s="290" t="b">
        <f>H47=[3]FORM.2!$M$9</f>
        <v>1</v>
      </c>
      <c r="U47" s="313"/>
      <c r="V47" s="218"/>
      <c r="W47" s="218"/>
      <c r="X47" s="218"/>
      <c r="Y47" s="218"/>
      <c r="Z47" s="218"/>
      <c r="AA47" s="218"/>
      <c r="AB47" s="218"/>
      <c r="AC47" s="218"/>
      <c r="AD47" s="218"/>
      <c r="AE47" s="218"/>
    </row>
    <row r="48" spans="1:31" s="219" customFormat="1" ht="27" thickBot="1">
      <c r="A48" s="419" t="s">
        <v>334</v>
      </c>
      <c r="B48" s="420"/>
      <c r="C48" s="420"/>
      <c r="D48" s="420"/>
      <c r="E48" s="420"/>
      <c r="F48" s="420"/>
      <c r="G48" s="421"/>
      <c r="H48" s="134">
        <f>SUM(H8:H47)</f>
        <v>10610152.680000005</v>
      </c>
      <c r="I48" s="134">
        <f>SUM(I8:I47)</f>
        <v>12047133.760000004</v>
      </c>
      <c r="J48" s="134">
        <f>SUM(J8:J47)</f>
        <v>0</v>
      </c>
      <c r="K48" s="134">
        <f>SUM(K8:K47)</f>
        <v>1436981.0799999966</v>
      </c>
      <c r="L48" s="135">
        <f>IFERROR(K48/H48*100,)</f>
        <v>13.543453363387375</v>
      </c>
      <c r="M48" s="141"/>
      <c r="N48" s="218"/>
      <c r="O48" s="218"/>
      <c r="P48" s="218"/>
      <c r="Q48" s="218"/>
      <c r="R48" s="218"/>
      <c r="S48" s="218"/>
      <c r="T48" s="218"/>
      <c r="U48" s="311"/>
      <c r="V48" s="218"/>
      <c r="W48" s="218"/>
      <c r="X48" s="218"/>
      <c r="Y48" s="218"/>
      <c r="Z48" s="218"/>
      <c r="AA48" s="218"/>
      <c r="AB48" s="218"/>
      <c r="AC48" s="218"/>
      <c r="AD48" s="218"/>
      <c r="AE48" s="218"/>
    </row>
    <row r="49" spans="1:31" s="219" customFormat="1">
      <c r="A49" s="418"/>
      <c r="B49" s="418"/>
      <c r="C49" s="418"/>
      <c r="D49" s="418"/>
      <c r="E49" s="418"/>
      <c r="F49" s="418"/>
      <c r="G49" s="418"/>
      <c r="H49" s="221"/>
      <c r="I49" s="221"/>
      <c r="J49" s="122"/>
      <c r="K49" s="221"/>
      <c r="L49" s="221"/>
      <c r="M49" s="141"/>
      <c r="N49" s="218"/>
      <c r="O49" s="218"/>
      <c r="P49" s="218"/>
      <c r="Q49" s="218"/>
      <c r="R49" s="218"/>
      <c r="S49" s="218"/>
      <c r="T49" s="218"/>
      <c r="U49" s="311"/>
      <c r="V49" s="218"/>
      <c r="W49" s="218"/>
      <c r="X49" s="218"/>
      <c r="Y49" s="218"/>
      <c r="Z49" s="218"/>
      <c r="AA49" s="218"/>
      <c r="AB49" s="218"/>
      <c r="AC49" s="218"/>
      <c r="AD49" s="218"/>
      <c r="AE49" s="218"/>
    </row>
    <row r="50" spans="1:31" s="219" customFormat="1">
      <c r="A50" s="417" t="s">
        <v>335</v>
      </c>
      <c r="B50" s="417"/>
      <c r="C50" s="417"/>
      <c r="D50" s="417"/>
      <c r="E50" s="417"/>
      <c r="F50" s="417"/>
      <c r="G50" s="417"/>
      <c r="H50" s="417"/>
      <c r="I50" s="417"/>
      <c r="J50" s="417"/>
      <c r="K50" s="417"/>
      <c r="L50" s="417"/>
      <c r="M50" s="141"/>
      <c r="N50" s="218"/>
      <c r="O50" s="218"/>
      <c r="P50" s="218"/>
      <c r="Q50" s="218"/>
      <c r="R50" s="218"/>
      <c r="S50" s="218"/>
      <c r="T50" s="218"/>
      <c r="U50" s="311"/>
      <c r="V50" s="218"/>
      <c r="W50" s="218"/>
      <c r="X50" s="218"/>
      <c r="Y50" s="218"/>
      <c r="Z50" s="218"/>
      <c r="AA50" s="218"/>
      <c r="AB50" s="218"/>
      <c r="AC50" s="218"/>
      <c r="AD50" s="218"/>
      <c r="AE50" s="218"/>
    </row>
    <row r="51" spans="1:31" s="219" customFormat="1" ht="55.5" customHeight="1">
      <c r="A51" s="415" t="s">
        <v>336</v>
      </c>
      <c r="B51" s="416"/>
      <c r="C51" s="416"/>
      <c r="D51" s="416"/>
      <c r="E51" s="416"/>
      <c r="F51" s="416"/>
      <c r="G51" s="416"/>
      <c r="H51" s="416"/>
      <c r="I51" s="416"/>
      <c r="J51" s="416"/>
      <c r="K51" s="416"/>
      <c r="L51" s="416"/>
      <c r="M51" s="141"/>
      <c r="N51" s="218"/>
      <c r="O51" s="218"/>
      <c r="P51" s="218"/>
      <c r="Q51" s="218"/>
      <c r="R51" s="218"/>
      <c r="S51" s="218"/>
      <c r="T51" s="218"/>
      <c r="U51" s="311"/>
      <c r="V51" s="218"/>
      <c r="W51" s="218"/>
      <c r="X51" s="218"/>
      <c r="Y51" s="218"/>
      <c r="Z51" s="218"/>
      <c r="AA51" s="218"/>
      <c r="AB51" s="218"/>
      <c r="AC51" s="218"/>
      <c r="AD51" s="218"/>
      <c r="AE51" s="218"/>
    </row>
    <row r="52" spans="1:31" s="219" customFormat="1" hidden="1">
      <c r="A52" s="414"/>
      <c r="B52" s="414"/>
      <c r="C52" s="414"/>
      <c r="D52" s="414"/>
      <c r="E52" s="414"/>
      <c r="F52" s="414"/>
      <c r="G52" s="414"/>
      <c r="H52" s="414"/>
      <c r="I52" s="414"/>
      <c r="J52" s="414"/>
      <c r="K52" s="414"/>
      <c r="L52" s="414"/>
      <c r="M52" s="141"/>
      <c r="N52" s="218"/>
      <c r="O52" s="218"/>
      <c r="P52" s="218"/>
      <c r="Q52" s="218"/>
      <c r="R52" s="218"/>
      <c r="S52" s="218"/>
      <c r="T52" s="218"/>
      <c r="U52" s="311"/>
      <c r="V52" s="218"/>
      <c r="W52" s="218"/>
      <c r="X52" s="218"/>
      <c r="Y52" s="218"/>
      <c r="Z52" s="218"/>
      <c r="AA52" s="218"/>
      <c r="AB52" s="218"/>
      <c r="AC52" s="218"/>
      <c r="AD52" s="218"/>
      <c r="AE52" s="218"/>
    </row>
  </sheetData>
  <sheetProtection formatCells="0" formatRows="0" insertRows="0" deleteRows="0"/>
  <autoFilter ref="A6:I48" xr:uid="{00000000-0009-0000-0000-000003000000}"/>
  <mergeCells count="20">
    <mergeCell ref="A52:L52"/>
    <mergeCell ref="A51:L51"/>
    <mergeCell ref="A50:L50"/>
    <mergeCell ref="H6:H7"/>
    <mergeCell ref="I6:I7"/>
    <mergeCell ref="F6:F7"/>
    <mergeCell ref="A49:G49"/>
    <mergeCell ref="A48:G48"/>
    <mergeCell ref="A1:L1"/>
    <mergeCell ref="G6:G7"/>
    <mergeCell ref="A3:L3"/>
    <mergeCell ref="K6:L6"/>
    <mergeCell ref="A6:A7"/>
    <mergeCell ref="B6:B7"/>
    <mergeCell ref="C6:C7"/>
    <mergeCell ref="E6:E7"/>
    <mergeCell ref="D6:D7"/>
    <mergeCell ref="A2:L2"/>
    <mergeCell ref="A5:L5"/>
    <mergeCell ref="J6:J7"/>
  </mergeCells>
  <phoneticPr fontId="15" type="noConversion"/>
  <conditionalFormatting sqref="H49:I49 K49:L49">
    <cfRule type="cellIs" dxfId="38" priority="4" operator="equal">
      <formula>TRUE</formula>
    </cfRule>
  </conditionalFormatting>
  <conditionalFormatting sqref="J25">
    <cfRule type="cellIs" dxfId="37" priority="2" operator="equal">
      <formula>TRUE</formula>
    </cfRule>
  </conditionalFormatting>
  <conditionalFormatting sqref="J24">
    <cfRule type="cellIs" dxfId="36" priority="1" operator="equal">
      <formula>TRUE</formula>
    </cfRule>
  </conditionalFormatting>
  <pageMargins left="0.23622047244094491" right="0.23622047244094491" top="0.27559055118110237" bottom="0.15748031496062992" header="0.31496062992125984" footer="0.31496062992125984"/>
  <pageSetup paperSize="9" scale="43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300-000000000000}">
          <x14:formula1>
            <xm:f>'Validação de dados'!$D$1:$D$16</xm:f>
          </x14:formula1>
          <xm:sqref>E8:E47</xm:sqref>
        </x14:dataValidation>
        <x14:dataValidation type="list" allowBlank="1" showInputMessage="1" showErrorMessage="1" xr:uid="{00000000-0002-0000-0300-000001000000}">
          <x14:formula1>
            <xm:f>'Validação de dados'!$A$1:$A$17</xm:f>
          </x14:formula1>
          <xm:sqref>F8:F47</xm:sqref>
        </x14:dataValidation>
        <x14:dataValidation type="list" allowBlank="1" showInputMessage="1" showErrorMessage="1" xr:uid="{00000000-0002-0000-0300-000002000000}">
          <x14:formula1>
            <xm:f>'Validação de dados'!$E$1:$E$6</xm:f>
          </x14:formula1>
          <xm:sqref>B8:B47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Plan7">
    <tabColor rgb="FF2A5664"/>
    <pageSetUpPr fitToPage="1"/>
  </sheetPr>
  <dimension ref="A1:AA59"/>
  <sheetViews>
    <sheetView showGridLines="0" topLeftCell="A4" zoomScale="70" zoomScaleNormal="70" zoomScaleSheetLayoutView="80" workbookViewId="0">
      <selection activeCell="F16" sqref="F16"/>
    </sheetView>
  </sheetViews>
  <sheetFormatPr defaultColWidth="9.140625" defaultRowHeight="15.75" zeroHeight="1"/>
  <cols>
    <col min="1" max="1" width="47" style="141" customWidth="1"/>
    <col min="2" max="3" width="21.42578125" style="141" customWidth="1"/>
    <col min="4" max="4" width="23" style="141" bestFit="1" customWidth="1"/>
    <col min="5" max="6" width="21.42578125" style="141" customWidth="1"/>
    <col min="7" max="7" width="22.140625" style="141" customWidth="1"/>
    <col min="8" max="8" width="18.85546875" style="319" hidden="1" customWidth="1"/>
    <col min="9" max="9" width="18.85546875" style="152" hidden="1" customWidth="1"/>
    <col min="10" max="10" width="18.85546875" style="150" hidden="1" customWidth="1"/>
    <col min="11" max="11" width="59.42578125" style="150" hidden="1" customWidth="1"/>
    <col min="12" max="14" width="9.140625" style="150" hidden="1" customWidth="1"/>
    <col min="15" max="15" width="42.85546875" style="150" hidden="1" customWidth="1"/>
    <col min="16" max="26" width="9.140625" style="150" hidden="1" customWidth="1"/>
    <col min="27" max="27" width="0" style="150" hidden="1" customWidth="1"/>
    <col min="28" max="16383" width="9.140625" style="150"/>
    <col min="16384" max="16384" width="0.42578125" style="150" customWidth="1"/>
  </cols>
  <sheetData>
    <row r="1" spans="1:16" ht="21.75" hidden="1" customHeight="1">
      <c r="A1" s="448" t="s">
        <v>337</v>
      </c>
      <c r="B1" s="448"/>
      <c r="C1" s="448"/>
      <c r="D1" s="448"/>
      <c r="E1" s="448"/>
      <c r="F1" s="448"/>
      <c r="G1" s="449"/>
    </row>
    <row r="2" spans="1:16" ht="21.75" hidden="1" customHeight="1">
      <c r="A2" s="442" t="s">
        <v>338</v>
      </c>
      <c r="B2" s="443"/>
      <c r="C2" s="443"/>
      <c r="D2" s="443"/>
      <c r="E2" s="443"/>
      <c r="F2" s="443"/>
      <c r="G2" s="444"/>
      <c r="I2" s="298"/>
      <c r="J2" s="441"/>
      <c r="K2" s="225"/>
      <c r="L2" s="225"/>
      <c r="M2" s="225"/>
      <c r="N2" s="225"/>
      <c r="O2" s="445" t="s">
        <v>339</v>
      </c>
      <c r="P2" s="225"/>
    </row>
    <row r="3" spans="1:16" s="151" customFormat="1">
      <c r="A3" s="442" t="s">
        <v>340</v>
      </c>
      <c r="B3" s="443"/>
      <c r="C3" s="443"/>
      <c r="D3" s="443"/>
      <c r="E3" s="443"/>
      <c r="F3" s="443"/>
      <c r="G3" s="444"/>
      <c r="H3" s="319"/>
      <c r="I3" s="298"/>
      <c r="J3" s="441"/>
      <c r="K3" s="225"/>
      <c r="L3" s="225"/>
      <c r="M3" s="225"/>
      <c r="N3" s="225"/>
      <c r="O3" s="446"/>
      <c r="P3" s="225"/>
    </row>
    <row r="4" spans="1:16" s="151" customFormat="1" ht="15.75" customHeight="1">
      <c r="A4" s="431"/>
      <c r="B4" s="431"/>
      <c r="C4" s="431"/>
      <c r="D4" s="431"/>
      <c r="E4" s="431"/>
      <c r="F4" s="145" t="s">
        <v>341</v>
      </c>
      <c r="G4" s="143"/>
      <c r="H4" s="319"/>
      <c r="I4" s="298"/>
      <c r="J4" s="441"/>
      <c r="K4" s="225"/>
      <c r="L4" s="225"/>
      <c r="M4" s="225"/>
      <c r="N4" s="225"/>
      <c r="O4" s="446"/>
      <c r="P4" s="225"/>
    </row>
    <row r="5" spans="1:16">
      <c r="A5" s="453" t="s">
        <v>342</v>
      </c>
      <c r="B5" s="454"/>
      <c r="C5" s="451" t="s">
        <v>343</v>
      </c>
      <c r="D5" s="451" t="s">
        <v>344</v>
      </c>
      <c r="E5" s="410" t="s">
        <v>186</v>
      </c>
      <c r="F5" s="410"/>
      <c r="G5" s="450" t="s">
        <v>345</v>
      </c>
      <c r="I5" s="301"/>
      <c r="J5" s="441"/>
      <c r="K5" s="225"/>
      <c r="L5" s="225"/>
      <c r="M5" s="225"/>
      <c r="N5" s="225"/>
      <c r="O5" s="446"/>
      <c r="P5" s="225"/>
    </row>
    <row r="6" spans="1:16" ht="31.5">
      <c r="A6" s="455"/>
      <c r="B6" s="456"/>
      <c r="C6" s="452"/>
      <c r="D6" s="452"/>
      <c r="E6" s="333" t="s">
        <v>346</v>
      </c>
      <c r="F6" s="331" t="s">
        <v>347</v>
      </c>
      <c r="G6" s="450"/>
      <c r="J6" s="298"/>
      <c r="K6" s="225"/>
      <c r="L6" s="225"/>
      <c r="M6" s="225"/>
      <c r="N6" s="225"/>
      <c r="O6" s="446"/>
      <c r="P6" s="225"/>
    </row>
    <row r="7" spans="1:16">
      <c r="A7" s="413" t="s">
        <v>348</v>
      </c>
      <c r="B7" s="413"/>
      <c r="C7" s="209"/>
      <c r="D7" s="209"/>
      <c r="E7" s="209"/>
      <c r="F7" s="211"/>
      <c r="G7" s="211"/>
      <c r="J7" s="298"/>
      <c r="K7" s="225"/>
      <c r="L7" s="225"/>
      <c r="M7" s="225"/>
      <c r="N7" s="225"/>
      <c r="O7" s="446"/>
      <c r="P7" s="225"/>
    </row>
    <row r="8" spans="1:16">
      <c r="A8" s="440" t="s">
        <v>349</v>
      </c>
      <c r="B8" s="440"/>
      <c r="C8" s="136">
        <f>C9+C19+C20+C21</f>
        <v>10610152.68</v>
      </c>
      <c r="D8" s="136">
        <f>D9+D19+D20+D21</f>
        <v>12047133.760000002</v>
      </c>
      <c r="E8" s="136">
        <f>D8-C8</f>
        <v>1436981.0800000019</v>
      </c>
      <c r="F8" s="136">
        <f>IFERROR(E8/C8*100,)</f>
        <v>13.543453363387433</v>
      </c>
      <c r="G8" s="137">
        <f>IFERROR(D8/$D$25*100,0)</f>
        <v>100</v>
      </c>
      <c r="H8" s="214" t="b">
        <f>C8=[3]FORM.1!$F$7</f>
        <v>1</v>
      </c>
      <c r="I8" s="215"/>
      <c r="J8" s="214"/>
      <c r="K8" s="214"/>
      <c r="O8" s="447"/>
    </row>
    <row r="9" spans="1:16">
      <c r="A9" s="438" t="s">
        <v>350</v>
      </c>
      <c r="B9" s="438"/>
      <c r="C9" s="136">
        <f>C10+C17+C18</f>
        <v>10220993.389999999</v>
      </c>
      <c r="D9" s="136">
        <f>D10+D17+D18</f>
        <v>11499387.240000002</v>
      </c>
      <c r="E9" s="136">
        <f t="shared" ref="E9:E25" si="0">D9-C9</f>
        <v>1278393.8500000034</v>
      </c>
      <c r="F9" s="136">
        <f t="shared" ref="F9:F25" si="1">IFERROR(E9/C9*100,)</f>
        <v>12.507530346813025</v>
      </c>
      <c r="G9" s="137">
        <f t="shared" ref="G9:G25" si="2">IFERROR(D9/$D$25*100,0)</f>
        <v>95.453304238899733</v>
      </c>
      <c r="H9" s="214" t="b">
        <f>C9=[3]FORM.1!$F$8</f>
        <v>1</v>
      </c>
      <c r="I9" s="215">
        <f>I10+I17+I18</f>
        <v>11499387.240000002</v>
      </c>
      <c r="J9" s="214" t="b">
        <f>D9=I9</f>
        <v>1</v>
      </c>
      <c r="K9" s="216">
        <f>D9-I9</f>
        <v>0</v>
      </c>
    </row>
    <row r="10" spans="1:16">
      <c r="A10" s="438" t="s">
        <v>351</v>
      </c>
      <c r="B10" s="438"/>
      <c r="C10" s="136">
        <f>C11+C14</f>
        <v>5346724.3999999994</v>
      </c>
      <c r="D10" s="136">
        <f>D11+D14</f>
        <v>5971306.4300000006</v>
      </c>
      <c r="E10" s="136">
        <f t="shared" si="0"/>
        <v>624582.03000000119</v>
      </c>
      <c r="F10" s="136">
        <f t="shared" si="1"/>
        <v>11.681582652735969</v>
      </c>
      <c r="G10" s="137">
        <f t="shared" si="2"/>
        <v>49.56620013489416</v>
      </c>
      <c r="H10" s="214" t="b">
        <f>C10=[3]FORM.1!$F$9</f>
        <v>1</v>
      </c>
      <c r="I10" s="215">
        <f>I11+I14</f>
        <v>5971306.4300000006</v>
      </c>
      <c r="J10" s="214" t="b">
        <f t="shared" ref="J10:J18" si="3">D10=I10</f>
        <v>1</v>
      </c>
      <c r="K10" s="216">
        <f t="shared" ref="K10:K18" si="4">D10-I10</f>
        <v>0</v>
      </c>
    </row>
    <row r="11" spans="1:16">
      <c r="A11" s="438" t="s">
        <v>352</v>
      </c>
      <c r="B11" s="438"/>
      <c r="C11" s="132">
        <f>SUM(C12:C13)</f>
        <v>4853452.6399999997</v>
      </c>
      <c r="D11" s="132">
        <f>SUM(D12:D13)</f>
        <v>5459549.9400000004</v>
      </c>
      <c r="E11" s="136">
        <f t="shared" si="0"/>
        <v>606097.30000000075</v>
      </c>
      <c r="F11" s="136">
        <f t="shared" si="1"/>
        <v>12.487961559670248</v>
      </c>
      <c r="G11" s="137">
        <f t="shared" si="2"/>
        <v>45.318247881726847</v>
      </c>
      <c r="H11" s="214" t="b">
        <f>C11=[3]FORM.1!$F$10</f>
        <v>1</v>
      </c>
      <c r="I11" s="215">
        <f>I12+I13</f>
        <v>5459549.9400000004</v>
      </c>
      <c r="J11" s="214" t="b">
        <f t="shared" si="3"/>
        <v>1</v>
      </c>
      <c r="K11" s="216">
        <f t="shared" si="4"/>
        <v>0</v>
      </c>
      <c r="O11" s="215"/>
    </row>
    <row r="12" spans="1:16">
      <c r="A12" s="437" t="s">
        <v>353</v>
      </c>
      <c r="B12" s="437"/>
      <c r="C12" s="9">
        <v>3864411.6599999997</v>
      </c>
      <c r="D12" s="9">
        <v>4786978.78</v>
      </c>
      <c r="E12" s="136">
        <f t="shared" si="0"/>
        <v>922567.12000000058</v>
      </c>
      <c r="F12" s="136">
        <f t="shared" si="1"/>
        <v>23.873417253895788</v>
      </c>
      <c r="G12" s="137">
        <f t="shared" si="2"/>
        <v>39.73541653446371</v>
      </c>
      <c r="H12" s="214" t="b">
        <f>C12=[3]FORM.1!$F$11</f>
        <v>1</v>
      </c>
      <c r="I12" s="215">
        <v>4786978.78</v>
      </c>
      <c r="J12" s="214" t="b">
        <f t="shared" si="3"/>
        <v>1</v>
      </c>
      <c r="K12" s="216">
        <f t="shared" si="4"/>
        <v>0</v>
      </c>
    </row>
    <row r="13" spans="1:16">
      <c r="A13" s="437" t="s">
        <v>354</v>
      </c>
      <c r="B13" s="437"/>
      <c r="C13" s="9">
        <v>989040.98</v>
      </c>
      <c r="D13" s="9">
        <v>672571.16</v>
      </c>
      <c r="E13" s="136">
        <f t="shared" si="0"/>
        <v>-316469.81999999995</v>
      </c>
      <c r="F13" s="136">
        <f t="shared" si="1"/>
        <v>-31.997644829640926</v>
      </c>
      <c r="G13" s="137">
        <f t="shared" si="2"/>
        <v>5.5828313472631352</v>
      </c>
      <c r="H13" s="214" t="b">
        <f>C13=[3]FORM.1!$F$12</f>
        <v>1</v>
      </c>
      <c r="I13" s="215">
        <f>'Diretrizes - Resumo'!AK8</f>
        <v>672571.16</v>
      </c>
      <c r="J13" s="214" t="b">
        <f t="shared" si="3"/>
        <v>1</v>
      </c>
      <c r="K13" s="216">
        <f t="shared" si="4"/>
        <v>0</v>
      </c>
    </row>
    <row r="14" spans="1:16">
      <c r="A14" s="438" t="s">
        <v>355</v>
      </c>
      <c r="B14" s="438"/>
      <c r="C14" s="136">
        <f>SUM(C15:C16)</f>
        <v>493271.76</v>
      </c>
      <c r="D14" s="136">
        <f>SUM(D15:D16)</f>
        <v>511756.49</v>
      </c>
      <c r="E14" s="136">
        <f t="shared" si="0"/>
        <v>18484.729999999981</v>
      </c>
      <c r="F14" s="136">
        <f t="shared" si="1"/>
        <v>3.747372442322662</v>
      </c>
      <c r="G14" s="137">
        <f t="shared" si="2"/>
        <v>4.2479522531673117</v>
      </c>
      <c r="H14" s="214" t="b">
        <f>C14=[3]FORM.1!$F$13</f>
        <v>1</v>
      </c>
      <c r="I14" s="215">
        <f>I15+I16</f>
        <v>511756.49</v>
      </c>
      <c r="J14" s="214" t="b">
        <f t="shared" si="3"/>
        <v>1</v>
      </c>
      <c r="K14" s="216">
        <f t="shared" si="4"/>
        <v>0</v>
      </c>
    </row>
    <row r="15" spans="1:16">
      <c r="A15" s="437" t="s">
        <v>356</v>
      </c>
      <c r="B15" s="437"/>
      <c r="C15" s="11">
        <v>357589.7</v>
      </c>
      <c r="D15" s="11">
        <v>430923.35</v>
      </c>
      <c r="E15" s="136">
        <f t="shared" si="0"/>
        <v>73333.649999999965</v>
      </c>
      <c r="F15" s="136">
        <f t="shared" si="1"/>
        <v>20.507763506611056</v>
      </c>
      <c r="G15" s="137">
        <f t="shared" si="2"/>
        <v>3.5769782139448902</v>
      </c>
      <c r="H15" s="214" t="b">
        <f>C15=[3]FORM.1!$F$14</f>
        <v>1</v>
      </c>
      <c r="I15" s="215">
        <v>430923.35</v>
      </c>
      <c r="J15" s="214" t="b">
        <f t="shared" si="3"/>
        <v>1</v>
      </c>
      <c r="K15" s="216">
        <f t="shared" si="4"/>
        <v>0</v>
      </c>
    </row>
    <row r="16" spans="1:16">
      <c r="A16" s="437" t="s">
        <v>357</v>
      </c>
      <c r="B16" s="437"/>
      <c r="C16" s="11">
        <v>135682.06</v>
      </c>
      <c r="D16" s="11">
        <v>80833.14</v>
      </c>
      <c r="E16" s="136">
        <f t="shared" si="0"/>
        <v>-54848.92</v>
      </c>
      <c r="F16" s="136">
        <f t="shared" si="1"/>
        <v>-40.424592610106302</v>
      </c>
      <c r="G16" s="137">
        <f t="shared" si="2"/>
        <v>0.67097403922242149</v>
      </c>
      <c r="H16" s="214" t="b">
        <f>C16=[3]FORM.1!$F$15</f>
        <v>1</v>
      </c>
      <c r="I16" s="215">
        <v>80833.14</v>
      </c>
      <c r="J16" s="214" t="b">
        <f t="shared" si="3"/>
        <v>1</v>
      </c>
      <c r="K16" s="216">
        <f t="shared" si="4"/>
        <v>0</v>
      </c>
    </row>
    <row r="17" spans="1:27">
      <c r="A17" s="436" t="s">
        <v>358</v>
      </c>
      <c r="B17" s="436"/>
      <c r="C17" s="12">
        <v>4407201.4800000004</v>
      </c>
      <c r="D17" s="12">
        <v>4935114.83</v>
      </c>
      <c r="E17" s="136">
        <f t="shared" si="0"/>
        <v>527913.34999999963</v>
      </c>
      <c r="F17" s="136">
        <f t="shared" si="1"/>
        <v>11.97842559265068</v>
      </c>
      <c r="G17" s="137">
        <f t="shared" si="2"/>
        <v>40.965053832024516</v>
      </c>
      <c r="H17" s="214" t="b">
        <f>C17=[3]FORM.1!$F$16</f>
        <v>1</v>
      </c>
      <c r="I17" s="215">
        <f>'Diretrizes - Resumo'!AK12</f>
        <v>4935114.83</v>
      </c>
      <c r="J17" s="214" t="b">
        <f t="shared" si="3"/>
        <v>1</v>
      </c>
      <c r="K17" s="216">
        <f t="shared" si="4"/>
        <v>0</v>
      </c>
    </row>
    <row r="18" spans="1:27">
      <c r="A18" s="436" t="s">
        <v>359</v>
      </c>
      <c r="B18" s="436"/>
      <c r="C18" s="12">
        <v>467067.51</v>
      </c>
      <c r="D18" s="12">
        <v>592965.98</v>
      </c>
      <c r="E18" s="136">
        <f t="shared" si="0"/>
        <v>125898.46999999997</v>
      </c>
      <c r="F18" s="136">
        <f t="shared" si="1"/>
        <v>26.955090496446644</v>
      </c>
      <c r="G18" s="137">
        <f t="shared" si="2"/>
        <v>4.9220502719810417</v>
      </c>
      <c r="H18" s="214" t="b">
        <f>C18=[3]FORM.1!$F$17</f>
        <v>1</v>
      </c>
      <c r="I18" s="215">
        <f>'Diretrizes - Resumo'!AK13</f>
        <v>592965.98</v>
      </c>
      <c r="J18" s="214" t="b">
        <f t="shared" si="3"/>
        <v>1</v>
      </c>
      <c r="K18" s="216">
        <f t="shared" si="4"/>
        <v>0</v>
      </c>
    </row>
    <row r="19" spans="1:27">
      <c r="A19" s="436" t="s">
        <v>360</v>
      </c>
      <c r="B19" s="436"/>
      <c r="C19" s="12">
        <v>261775.24</v>
      </c>
      <c r="D19" s="12">
        <v>500000</v>
      </c>
      <c r="E19" s="136">
        <f t="shared" si="0"/>
        <v>238224.76</v>
      </c>
      <c r="F19" s="136">
        <f t="shared" si="1"/>
        <v>91.003549457160275</v>
      </c>
      <c r="G19" s="137">
        <f t="shared" si="2"/>
        <v>4.1503648084339018</v>
      </c>
      <c r="H19" s="214" t="b">
        <f>C19=[3]FORM.1!$F$18</f>
        <v>1</v>
      </c>
      <c r="I19" s="215"/>
      <c r="J19" s="214"/>
      <c r="K19" s="214"/>
    </row>
    <row r="20" spans="1:27">
      <c r="A20" s="436" t="s">
        <v>361</v>
      </c>
      <c r="B20" s="436"/>
      <c r="C20" s="13">
        <v>127384.04999999999</v>
      </c>
      <c r="D20" s="13">
        <v>47746.52</v>
      </c>
      <c r="E20" s="136">
        <f t="shared" si="0"/>
        <v>-79637.53</v>
      </c>
      <c r="F20" s="136">
        <f t="shared" si="1"/>
        <v>-62.517662140589827</v>
      </c>
      <c r="G20" s="137">
        <f t="shared" si="2"/>
        <v>0.39633095266637092</v>
      </c>
      <c r="H20" s="214" t="b">
        <f>C20=[3]FORM.1!$F$19</f>
        <v>1</v>
      </c>
      <c r="I20" s="215">
        <v>47746.52</v>
      </c>
      <c r="J20" s="214" t="b">
        <f>I20=D20</f>
        <v>1</v>
      </c>
      <c r="K20" s="214"/>
    </row>
    <row r="21" spans="1:27">
      <c r="A21" s="436" t="s">
        <v>362</v>
      </c>
      <c r="B21" s="436"/>
      <c r="C21" s="13"/>
      <c r="D21" s="13"/>
      <c r="E21" s="136">
        <f t="shared" si="0"/>
        <v>0</v>
      </c>
      <c r="F21" s="136">
        <f t="shared" si="1"/>
        <v>0</v>
      </c>
      <c r="G21" s="137">
        <f t="shared" si="2"/>
        <v>0</v>
      </c>
      <c r="H21" s="214" t="b">
        <f>C21=[3]FORM.1!$F$20</f>
        <v>1</v>
      </c>
      <c r="I21" s="215"/>
      <c r="J21" s="214"/>
      <c r="K21" s="214"/>
    </row>
    <row r="22" spans="1:27">
      <c r="A22" s="440" t="s">
        <v>363</v>
      </c>
      <c r="B22" s="440"/>
      <c r="C22" s="136">
        <f>SUM(C23:C24)</f>
        <v>0</v>
      </c>
      <c r="D22" s="136">
        <f>SUM(D23:D24)</f>
        <v>0</v>
      </c>
      <c r="E22" s="136">
        <f t="shared" si="0"/>
        <v>0</v>
      </c>
      <c r="F22" s="136">
        <f t="shared" si="1"/>
        <v>0</v>
      </c>
      <c r="G22" s="137">
        <f t="shared" si="2"/>
        <v>0</v>
      </c>
      <c r="H22" s="214" t="b">
        <f>C22=[3]FORM.1!$F$21</f>
        <v>1</v>
      </c>
      <c r="I22" s="215"/>
      <c r="J22" s="214"/>
      <c r="K22" s="214"/>
    </row>
    <row r="23" spans="1:27">
      <c r="A23" s="436" t="s">
        <v>364</v>
      </c>
      <c r="B23" s="436"/>
      <c r="C23" s="13"/>
      <c r="D23" s="13"/>
      <c r="E23" s="136">
        <f t="shared" si="0"/>
        <v>0</v>
      </c>
      <c r="F23" s="136">
        <f t="shared" si="1"/>
        <v>0</v>
      </c>
      <c r="G23" s="137">
        <f t="shared" si="2"/>
        <v>0</v>
      </c>
      <c r="H23" s="214" t="b">
        <f>C23=[3]FORM.1!$F$22</f>
        <v>1</v>
      </c>
      <c r="I23" s="215">
        <f>'Diretrizes - Resumo'!AN9</f>
        <v>9291279.5399999991</v>
      </c>
      <c r="J23" s="214" t="b">
        <f>I23&gt;=D23</f>
        <v>1</v>
      </c>
      <c r="K23" s="216">
        <f t="shared" ref="K23" si="5">D23-I23</f>
        <v>-9291279.5399999991</v>
      </c>
    </row>
    <row r="24" spans="1:27">
      <c r="A24" s="436" t="s">
        <v>365</v>
      </c>
      <c r="B24" s="436"/>
      <c r="C24" s="13"/>
      <c r="D24" s="13"/>
      <c r="E24" s="136">
        <f t="shared" si="0"/>
        <v>0</v>
      </c>
      <c r="F24" s="136">
        <f t="shared" si="1"/>
        <v>0</v>
      </c>
      <c r="G24" s="137">
        <f t="shared" si="2"/>
        <v>0</v>
      </c>
      <c r="H24" s="214" t="b">
        <f>C24=[3]FORM.1!$F$23</f>
        <v>1</v>
      </c>
      <c r="I24" s="215"/>
      <c r="J24" s="214"/>
      <c r="K24" s="214"/>
    </row>
    <row r="25" spans="1:27">
      <c r="A25" s="440" t="s">
        <v>366</v>
      </c>
      <c r="B25" s="440"/>
      <c r="C25" s="136">
        <f>SUM(C8,C22)</f>
        <v>10610152.68</v>
      </c>
      <c r="D25" s="136">
        <f>SUM(D8,D22)</f>
        <v>12047133.760000002</v>
      </c>
      <c r="E25" s="136">
        <f t="shared" si="0"/>
        <v>1436981.0800000019</v>
      </c>
      <c r="F25" s="136">
        <f t="shared" si="1"/>
        <v>13.543453363387433</v>
      </c>
      <c r="G25" s="137">
        <f t="shared" si="2"/>
        <v>100</v>
      </c>
      <c r="H25" s="214" t="b">
        <f>C25=[3]FORM.1!$F$24</f>
        <v>1</v>
      </c>
      <c r="I25" s="215"/>
      <c r="J25" s="214"/>
      <c r="K25" s="214"/>
    </row>
    <row r="26" spans="1:27">
      <c r="A26" s="413" t="s">
        <v>367</v>
      </c>
      <c r="B26" s="413"/>
      <c r="C26" s="210"/>
      <c r="D26" s="210"/>
      <c r="E26" s="210"/>
      <c r="F26" s="210"/>
      <c r="G26" s="212"/>
      <c r="I26" s="215"/>
      <c r="J26" s="214"/>
      <c r="K26" s="214"/>
    </row>
    <row r="27" spans="1:27">
      <c r="A27" s="438" t="s">
        <v>368</v>
      </c>
      <c r="B27" s="438"/>
      <c r="C27" s="136">
        <f>SUM(C28:C30)</f>
        <v>9538546.4399999995</v>
      </c>
      <c r="D27" s="136">
        <f>SUM(D28:D30)</f>
        <v>10801560.320000006</v>
      </c>
      <c r="E27" s="136">
        <f t="shared" ref="E27:E35" si="6">D27-C27</f>
        <v>1263013.8800000064</v>
      </c>
      <c r="F27" s="136">
        <f t="shared" ref="F27:F34" si="7">IFERROR(E27/C27*100,)</f>
        <v>13.241156689278608</v>
      </c>
      <c r="G27" s="137">
        <f t="shared" ref="G27:G34" si="8">IFERROR(D27/$D$34*100,0)</f>
        <v>89.660831656608096</v>
      </c>
      <c r="H27" s="214" t="b">
        <f>C27=[3]FORM.1!$F$26</f>
        <v>1</v>
      </c>
      <c r="I27" s="215">
        <f>I28+I30</f>
        <v>10801560.320000006</v>
      </c>
      <c r="J27" s="214" t="b">
        <f>I27=D27</f>
        <v>1</v>
      </c>
      <c r="K27" s="214"/>
    </row>
    <row r="28" spans="1:27">
      <c r="A28" s="438" t="s">
        <v>369</v>
      </c>
      <c r="B28" s="438"/>
      <c r="C28" s="138">
        <v>979550.45</v>
      </c>
      <c r="D28" s="138">
        <f>SUMIF('Quadro Geral'!$B$8:$B$47,"p",'Quadro Geral'!I8:I47)</f>
        <v>832800</v>
      </c>
      <c r="E28" s="136">
        <f t="shared" si="6"/>
        <v>-146750.44999999995</v>
      </c>
      <c r="F28" s="136">
        <f t="shared" si="7"/>
        <v>-14.98140805305127</v>
      </c>
      <c r="G28" s="137">
        <f t="shared" si="8"/>
        <v>6.9128476249275055</v>
      </c>
      <c r="H28" s="214" t="b">
        <f>C28=[3]FORM.1!$F$27</f>
        <v>1</v>
      </c>
      <c r="I28" s="215">
        <f>SUMIF('Quadro Geral'!B8:B47,"P",'Quadro Geral'!I8:I47)</f>
        <v>832800</v>
      </c>
      <c r="J28" s="214" t="b">
        <f>I28=D28</f>
        <v>1</v>
      </c>
      <c r="K28" s="214"/>
    </row>
    <row r="29" spans="1:27">
      <c r="A29" s="457" t="s">
        <v>370</v>
      </c>
      <c r="B29" s="458"/>
      <c r="C29" s="138">
        <f>SUMIF('Quadro Geral'!$B$8:$B$48,"pe",'Quadro Geral'!H8:H48)+SUMIF('Quadro Geral'!$B$8:$B$48,"pe.",'Quadro Geral'!H8:H48)</f>
        <v>0</v>
      </c>
      <c r="D29" s="138">
        <f>SUMIF('Quadro Geral'!$B$8:$B$48,"pe",'Quadro Geral'!I8:I48)</f>
        <v>0</v>
      </c>
      <c r="E29" s="136">
        <f t="shared" si="6"/>
        <v>0</v>
      </c>
      <c r="F29" s="136">
        <f t="shared" si="7"/>
        <v>0</v>
      </c>
      <c r="G29" s="137">
        <f t="shared" si="8"/>
        <v>0</v>
      </c>
      <c r="H29" s="214" t="b">
        <f>C29=[3]FORM.1!$F$28</f>
        <v>1</v>
      </c>
      <c r="I29" s="215"/>
      <c r="J29" s="214"/>
      <c r="K29" s="214"/>
    </row>
    <row r="30" spans="1:27">
      <c r="A30" s="438" t="s">
        <v>371</v>
      </c>
      <c r="B30" s="438"/>
      <c r="C30" s="138">
        <f>[3]FORM.1!$F$29</f>
        <v>8558995.9900000002</v>
      </c>
      <c r="D30" s="138">
        <f>SUMIF('Quadro Geral'!$B$8:$B$49,"a",'Quadro Geral'!I8:I49)-D31-D32-D33</f>
        <v>9968760.3200000059</v>
      </c>
      <c r="E30" s="136">
        <f t="shared" si="6"/>
        <v>1409764.3300000057</v>
      </c>
      <c r="F30" s="136">
        <f t="shared" si="7"/>
        <v>16.471141377412955</v>
      </c>
      <c r="G30" s="137">
        <f>IFERROR(D30/$D$34*100,0)</f>
        <v>82.747984031680588</v>
      </c>
      <c r="H30" s="214" t="b">
        <f>C30=[3]FORM.1!$F$29</f>
        <v>1</v>
      </c>
      <c r="I30" s="215">
        <f>SUMIF('Quadro Geral'!B8:B47,"A",'Quadro Geral'!I8:I47)-I31-I32-I33</f>
        <v>9968760.3200000059</v>
      </c>
      <c r="J30" s="214" t="b">
        <f>I30=D30</f>
        <v>1</v>
      </c>
      <c r="K30" s="214"/>
    </row>
    <row r="31" spans="1:27">
      <c r="A31" s="436" t="s">
        <v>372</v>
      </c>
      <c r="B31" s="436"/>
      <c r="C31" s="12">
        <f>'Quadro Geral'!H37</f>
        <v>217058.38</v>
      </c>
      <c r="D31" s="12">
        <f>'Quadro Geral'!I37</f>
        <v>207992.07</v>
      </c>
      <c r="E31" s="136">
        <f t="shared" si="6"/>
        <v>-9066.3099999999977</v>
      </c>
      <c r="F31" s="136">
        <f t="shared" si="7"/>
        <v>-4.1768993208186656</v>
      </c>
      <c r="G31" s="137">
        <f t="shared" si="8"/>
        <v>1.7264859355226412</v>
      </c>
      <c r="H31" s="214" t="b">
        <f>C31=[3]FORM.1!$F$30</f>
        <v>1</v>
      </c>
      <c r="I31" s="215">
        <f>'Quadro Geral'!U37</f>
        <v>207992.07</v>
      </c>
      <c r="J31" s="214" t="b">
        <f>I31=D31</f>
        <v>1</v>
      </c>
      <c r="K31" s="214"/>
    </row>
    <row r="32" spans="1:27">
      <c r="A32" s="436" t="s">
        <v>373</v>
      </c>
      <c r="B32" s="436"/>
      <c r="C32" s="12">
        <f>'Quadro Geral'!H33+'Quadro Geral'!H35</f>
        <v>774547.86</v>
      </c>
      <c r="D32" s="317">
        <f>'Quadro Geral'!I33+'Quadro Geral'!I35</f>
        <v>1007581.37</v>
      </c>
      <c r="E32" s="136">
        <f t="shared" si="6"/>
        <v>233033.51</v>
      </c>
      <c r="F32" s="136">
        <f t="shared" si="7"/>
        <v>30.086392595546002</v>
      </c>
      <c r="G32" s="137">
        <f t="shared" si="8"/>
        <v>8.3636605193632345</v>
      </c>
      <c r="H32" s="214" t="b">
        <f>C32=[3]FORM.1!$F$31</f>
        <v>1</v>
      </c>
      <c r="I32" s="318">
        <f>'Quadro Geral'!U33+'Quadro Geral'!U35</f>
        <v>1007581.37</v>
      </c>
      <c r="J32" s="214" t="b">
        <f>I32=D32</f>
        <v>1</v>
      </c>
      <c r="K32" s="214"/>
      <c r="L32" s="214"/>
      <c r="M32" s="214"/>
      <c r="N32" s="214"/>
      <c r="O32" s="214"/>
      <c r="P32" s="214"/>
      <c r="Q32" s="214"/>
      <c r="R32" s="214"/>
      <c r="S32" s="214"/>
      <c r="T32" s="214"/>
      <c r="U32" s="214"/>
      <c r="V32" s="214"/>
      <c r="W32" s="214"/>
      <c r="X32" s="214"/>
      <c r="Y32" s="214"/>
      <c r="Z32" s="214"/>
      <c r="AA32" s="214"/>
    </row>
    <row r="33" spans="1:11">
      <c r="A33" s="436" t="s">
        <v>374</v>
      </c>
      <c r="B33" s="436"/>
      <c r="C33" s="12">
        <f>'Quadro Geral'!H38</f>
        <v>80000</v>
      </c>
      <c r="D33" s="12">
        <f>'Quadro Geral'!I38</f>
        <v>30000</v>
      </c>
      <c r="E33" s="136">
        <f t="shared" si="6"/>
        <v>-50000</v>
      </c>
      <c r="F33" s="136">
        <f t="shared" si="7"/>
        <v>-62.5</v>
      </c>
      <c r="G33" s="137">
        <f t="shared" si="8"/>
        <v>0.24902188850603404</v>
      </c>
      <c r="H33" s="214" t="b">
        <f>C33=[3]FORM.1!$F$32</f>
        <v>1</v>
      </c>
      <c r="I33" s="215">
        <f>'Quadro Geral'!I38</f>
        <v>30000</v>
      </c>
      <c r="J33" s="214" t="b">
        <f>I33=D33</f>
        <v>1</v>
      </c>
      <c r="K33" s="214"/>
    </row>
    <row r="34" spans="1:11">
      <c r="A34" s="440" t="s">
        <v>375</v>
      </c>
      <c r="B34" s="440"/>
      <c r="C34" s="136">
        <f>SUM(C27,C31:C33)</f>
        <v>10610152.68</v>
      </c>
      <c r="D34" s="136">
        <f>SUM(D27,D31:D33)</f>
        <v>12047133.760000005</v>
      </c>
      <c r="E34" s="136">
        <f t="shared" si="6"/>
        <v>1436981.0800000057</v>
      </c>
      <c r="F34" s="137">
        <f t="shared" si="7"/>
        <v>13.543453363387471</v>
      </c>
      <c r="G34" s="137">
        <f t="shared" si="8"/>
        <v>100</v>
      </c>
      <c r="H34" s="214" t="b">
        <f>C34=[3]FORM.1!$F$33</f>
        <v>1</v>
      </c>
      <c r="I34" s="215"/>
      <c r="J34" s="214"/>
      <c r="K34" s="214"/>
    </row>
    <row r="35" spans="1:11">
      <c r="A35" s="439" t="s">
        <v>376</v>
      </c>
      <c r="B35" s="439"/>
      <c r="C35" s="139">
        <f>C25-C34</f>
        <v>0</v>
      </c>
      <c r="D35" s="139">
        <f>D25-D34</f>
        <v>0</v>
      </c>
      <c r="E35" s="139">
        <f t="shared" si="6"/>
        <v>0</v>
      </c>
      <c r="F35" s="139"/>
      <c r="G35" s="213"/>
      <c r="I35" s="215"/>
      <c r="J35" s="214"/>
      <c r="K35" s="214"/>
    </row>
    <row r="36" spans="1:11">
      <c r="A36" s="146"/>
      <c r="B36" s="146"/>
      <c r="C36" s="147"/>
      <c r="D36" s="147"/>
      <c r="E36" s="147"/>
      <c r="F36" s="147"/>
      <c r="G36" s="148"/>
    </row>
    <row r="37" spans="1:11">
      <c r="A37" s="432" t="s">
        <v>377</v>
      </c>
      <c r="B37" s="433"/>
      <c r="C37" s="433"/>
      <c r="D37" s="433"/>
      <c r="E37" s="433"/>
      <c r="F37" s="433"/>
      <c r="G37" s="433"/>
    </row>
    <row r="38" spans="1:11">
      <c r="A38" s="340" t="s">
        <v>378</v>
      </c>
      <c r="B38" s="428" t="s">
        <v>379</v>
      </c>
      <c r="C38" s="429"/>
      <c r="D38" s="430"/>
      <c r="E38" s="428" t="s">
        <v>380</v>
      </c>
      <c r="F38" s="429"/>
      <c r="G38" s="430"/>
    </row>
    <row r="39" spans="1:11" ht="47.25">
      <c r="A39" s="340"/>
      <c r="B39" s="341" t="s">
        <v>381</v>
      </c>
      <c r="C39" s="341" t="s">
        <v>382</v>
      </c>
      <c r="D39" s="341" t="s">
        <v>383</v>
      </c>
      <c r="E39" s="341" t="s">
        <v>381</v>
      </c>
      <c r="F39" s="341" t="s">
        <v>382</v>
      </c>
      <c r="G39" s="341" t="s">
        <v>383</v>
      </c>
    </row>
    <row r="40" spans="1:11">
      <c r="A40" s="217" t="s">
        <v>384</v>
      </c>
      <c r="B40" s="140">
        <f>C8</f>
        <v>10610152.68</v>
      </c>
      <c r="C40" s="140">
        <f>D8</f>
        <v>12047133.760000002</v>
      </c>
      <c r="D40" s="316">
        <f>IFERROR(C40/B40*100-100,0)</f>
        <v>13.543453363387428</v>
      </c>
      <c r="E40" s="149">
        <v>10481846.779999999</v>
      </c>
      <c r="F40" s="140">
        <f>'Anexo 3. Elemento de Despesas'!N47</f>
        <v>11977133.760000002</v>
      </c>
      <c r="G40" s="316">
        <f>IFERROR(F40/E40*100-100,0)</f>
        <v>14.26549167703061</v>
      </c>
    </row>
    <row r="41" spans="1:11">
      <c r="A41" s="217" t="s">
        <v>385</v>
      </c>
      <c r="B41" s="140">
        <f>C22</f>
        <v>0</v>
      </c>
      <c r="C41" s="140">
        <f>D22</f>
        <v>0</v>
      </c>
      <c r="D41" s="316">
        <f>IFERROR(C41/B41*100-100,0)</f>
        <v>0</v>
      </c>
      <c r="E41" s="149">
        <v>128305.9</v>
      </c>
      <c r="F41" s="140">
        <f>'Anexo 3. Elemento de Despesas'!O47</f>
        <v>70000</v>
      </c>
      <c r="G41" s="316">
        <f>IFERROR(F41/E41*100-100,0)</f>
        <v>-45.442882985116043</v>
      </c>
    </row>
    <row r="42" spans="1:11">
      <c r="A42" s="342" t="s">
        <v>386</v>
      </c>
      <c r="B42" s="343">
        <f>SUM(B40:B41)</f>
        <v>10610152.68</v>
      </c>
      <c r="C42" s="343">
        <f>SUM(C40:C41)</f>
        <v>12047133.760000002</v>
      </c>
      <c r="D42" s="344">
        <f>IFERROR(C42/B42*100-100,0)</f>
        <v>13.543453363387428</v>
      </c>
      <c r="E42" s="343">
        <f>E40+E41</f>
        <v>10610152.68</v>
      </c>
      <c r="F42" s="343">
        <f>F40+F41</f>
        <v>12047133.760000002</v>
      </c>
      <c r="G42" s="344">
        <f>IFERROR(F42/E42*100-100,0)</f>
        <v>13.543453363387428</v>
      </c>
    </row>
    <row r="43" spans="1:11">
      <c r="A43" s="434"/>
      <c r="B43" s="435"/>
      <c r="C43" s="435"/>
      <c r="D43" s="435"/>
      <c r="E43" s="435"/>
      <c r="F43" s="435"/>
      <c r="G43" s="435"/>
    </row>
    <row r="44" spans="1:11" ht="31.5">
      <c r="A44" s="341" t="s">
        <v>342</v>
      </c>
      <c r="B44" s="341" t="s">
        <v>387</v>
      </c>
      <c r="C44" s="341" t="s">
        <v>388</v>
      </c>
      <c r="D44" s="341" t="s">
        <v>389</v>
      </c>
    </row>
    <row r="45" spans="1:11">
      <c r="A45" s="340" t="s">
        <v>390</v>
      </c>
      <c r="B45" s="345">
        <f>D8</f>
        <v>12047133.760000002</v>
      </c>
      <c r="C45" s="345">
        <f>D22</f>
        <v>0</v>
      </c>
      <c r="D45" s="345">
        <f>SUM(B45:C45)</f>
        <v>12047133.760000002</v>
      </c>
    </row>
    <row r="46" spans="1:11">
      <c r="A46" s="340" t="s">
        <v>391</v>
      </c>
      <c r="B46" s="345">
        <f>'Anexo 3. Elemento de Despesas'!N47</f>
        <v>11977133.760000002</v>
      </c>
      <c r="C46" s="345">
        <f>'Anexo 3. Elemento de Despesas'!O47</f>
        <v>70000</v>
      </c>
      <c r="D46" s="345">
        <f>SUM(B46:C46)</f>
        <v>12047133.760000002</v>
      </c>
    </row>
    <row r="47" spans="1:11">
      <c r="A47" s="346" t="s">
        <v>376</v>
      </c>
      <c r="B47" s="347">
        <f>B45-B46</f>
        <v>70000</v>
      </c>
      <c r="C47" s="347">
        <f t="shared" ref="C47:D47" si="9">C45-C46</f>
        <v>-70000</v>
      </c>
      <c r="D47" s="347">
        <f t="shared" si="9"/>
        <v>0</v>
      </c>
    </row>
    <row r="48" spans="1:11"/>
    <row r="49" spans="1:7" ht="18" customHeight="1">
      <c r="A49" s="348" t="s">
        <v>392</v>
      </c>
      <c r="B49" s="348" t="s">
        <v>393</v>
      </c>
    </row>
    <row r="50" spans="1:7">
      <c r="A50" s="348" t="s">
        <v>394</v>
      </c>
      <c r="B50" s="349">
        <f>IFERROR('Diretrizes - Resumo'!AN9,)</f>
        <v>9291279.5399999991</v>
      </c>
    </row>
    <row r="51" spans="1:7">
      <c r="A51" s="348" t="s">
        <v>395</v>
      </c>
      <c r="B51" s="349">
        <v>0</v>
      </c>
      <c r="C51" s="302"/>
    </row>
    <row r="52" spans="1:7">
      <c r="A52" s="348" t="s">
        <v>396</v>
      </c>
      <c r="B52" s="349">
        <f>SUMIF('Quadro Geral'!B:B,"PE",'Quadro Geral'!I:I)</f>
        <v>0</v>
      </c>
    </row>
    <row r="53" spans="1:7">
      <c r="A53" s="348" t="s">
        <v>397</v>
      </c>
      <c r="B53" s="349">
        <f>B50-B51-B52</f>
        <v>9291279.5399999991</v>
      </c>
    </row>
    <row r="54" spans="1:7">
      <c r="A54" s="348" t="s">
        <v>398</v>
      </c>
      <c r="B54" s="350">
        <f>IFERROR(B51/B50,)</f>
        <v>0</v>
      </c>
    </row>
    <row r="55" spans="1:7">
      <c r="A55" s="348" t="s">
        <v>399</v>
      </c>
      <c r="B55" s="350">
        <f>IFERROR(B52/B50,)</f>
        <v>0</v>
      </c>
    </row>
    <row r="56" spans="1:7">
      <c r="A56" s="351" t="s">
        <v>400</v>
      </c>
      <c r="B56" s="352" t="s">
        <v>73</v>
      </c>
    </row>
    <row r="57" spans="1:7"/>
    <row r="58" spans="1:7">
      <c r="A58" s="422" t="s">
        <v>335</v>
      </c>
      <c r="B58" s="423"/>
      <c r="C58" s="423"/>
      <c r="D58" s="423"/>
      <c r="E58" s="423"/>
      <c r="F58" s="423"/>
      <c r="G58" s="424"/>
    </row>
    <row r="59" spans="1:7" ht="72" customHeight="1">
      <c r="A59" s="425" t="s">
        <v>401</v>
      </c>
      <c r="B59" s="426"/>
      <c r="C59" s="426"/>
      <c r="D59" s="426"/>
      <c r="E59" s="426"/>
      <c r="F59" s="426"/>
      <c r="G59" s="427"/>
    </row>
  </sheetData>
  <mergeCells count="46">
    <mergeCell ref="A1:G1"/>
    <mergeCell ref="A33:B33"/>
    <mergeCell ref="A34:B34"/>
    <mergeCell ref="G5:G6"/>
    <mergeCell ref="E5:F5"/>
    <mergeCell ref="D5:D6"/>
    <mergeCell ref="A5:B6"/>
    <mergeCell ref="A7:B7"/>
    <mergeCell ref="A27:B27"/>
    <mergeCell ref="C5:C6"/>
    <mergeCell ref="A29:B29"/>
    <mergeCell ref="A17:B17"/>
    <mergeCell ref="A10:B10"/>
    <mergeCell ref="A11:B11"/>
    <mergeCell ref="A31:B31"/>
    <mergeCell ref="A24:B24"/>
    <mergeCell ref="J2:J5"/>
    <mergeCell ref="A22:B22"/>
    <mergeCell ref="A2:G2"/>
    <mergeCell ref="A3:G3"/>
    <mergeCell ref="O2:O8"/>
    <mergeCell ref="A20:B20"/>
    <mergeCell ref="A21:B21"/>
    <mergeCell ref="A25:B25"/>
    <mergeCell ref="A26:B26"/>
    <mergeCell ref="A15:B15"/>
    <mergeCell ref="A16:B16"/>
    <mergeCell ref="A9:B9"/>
    <mergeCell ref="A18:B18"/>
    <mergeCell ref="A19:B19"/>
    <mergeCell ref="A58:G58"/>
    <mergeCell ref="A59:G59"/>
    <mergeCell ref="E38:G38"/>
    <mergeCell ref="B38:D38"/>
    <mergeCell ref="A4:E4"/>
    <mergeCell ref="A37:G37"/>
    <mergeCell ref="A43:G43"/>
    <mergeCell ref="A32:B32"/>
    <mergeCell ref="A23:B23"/>
    <mergeCell ref="A12:B12"/>
    <mergeCell ref="A13:B13"/>
    <mergeCell ref="A14:B14"/>
    <mergeCell ref="A35:B35"/>
    <mergeCell ref="A8:B8"/>
    <mergeCell ref="A28:B28"/>
    <mergeCell ref="A30:B30"/>
  </mergeCells>
  <phoneticPr fontId="15" type="noConversion"/>
  <conditionalFormatting sqref="C36:F36">
    <cfRule type="cellIs" dxfId="35" priority="24" operator="equal">
      <formula>TRUE</formula>
    </cfRule>
  </conditionalFormatting>
  <conditionalFormatting sqref="J9:J18">
    <cfRule type="cellIs" dxfId="34" priority="22" operator="equal">
      <formula>TRUE</formula>
    </cfRule>
    <cfRule type="cellIs" dxfId="33" priority="23" operator="equal">
      <formula>FALSE</formula>
    </cfRule>
  </conditionalFormatting>
  <conditionalFormatting sqref="J23">
    <cfRule type="cellIs" dxfId="32" priority="19" operator="equal">
      <formula>FALSE</formula>
    </cfRule>
    <cfRule type="cellIs" dxfId="31" priority="20" operator="equal">
      <formula>TRUE</formula>
    </cfRule>
    <cfRule type="cellIs" dxfId="30" priority="21" operator="equal">
      <formula>FALSE</formula>
    </cfRule>
  </conditionalFormatting>
  <conditionalFormatting sqref="J32">
    <cfRule type="cellIs" dxfId="29" priority="17" operator="equal">
      <formula>TRUE</formula>
    </cfRule>
    <cfRule type="cellIs" dxfId="28" priority="18" operator="equal">
      <formula>FALSE</formula>
    </cfRule>
  </conditionalFormatting>
  <conditionalFormatting sqref="J31">
    <cfRule type="cellIs" dxfId="27" priority="15" operator="equal">
      <formula>TRUE</formula>
    </cfRule>
    <cfRule type="cellIs" dxfId="26" priority="16" operator="equal">
      <formula>FALSE</formula>
    </cfRule>
  </conditionalFormatting>
  <conditionalFormatting sqref="J33">
    <cfRule type="cellIs" dxfId="25" priority="13" operator="equal">
      <formula>TRUE</formula>
    </cfRule>
    <cfRule type="cellIs" dxfId="24" priority="14" operator="equal">
      <formula>FALSE</formula>
    </cfRule>
  </conditionalFormatting>
  <conditionalFormatting sqref="J20">
    <cfRule type="cellIs" dxfId="23" priority="11" operator="equal">
      <formula>TRUE</formula>
    </cfRule>
    <cfRule type="cellIs" dxfId="22" priority="12" operator="equal">
      <formula>FALSE</formula>
    </cfRule>
  </conditionalFormatting>
  <conditionalFormatting sqref="J28">
    <cfRule type="cellIs" dxfId="21" priority="9" operator="equal">
      <formula>TRUE</formula>
    </cfRule>
    <cfRule type="cellIs" dxfId="20" priority="10" operator="equal">
      <formula>FALSE</formula>
    </cfRule>
  </conditionalFormatting>
  <conditionalFormatting sqref="J30">
    <cfRule type="cellIs" dxfId="19" priority="7" operator="equal">
      <formula>TRUE</formula>
    </cfRule>
    <cfRule type="cellIs" dxfId="18" priority="8" operator="equal">
      <formula>FALSE</formula>
    </cfRule>
  </conditionalFormatting>
  <conditionalFormatting sqref="J27">
    <cfRule type="cellIs" dxfId="17" priority="5" operator="equal">
      <formula>TRUE</formula>
    </cfRule>
    <cfRule type="cellIs" dxfId="16" priority="6" operator="equal">
      <formula>FALSE</formula>
    </cfRule>
  </conditionalFormatting>
  <conditionalFormatting sqref="H8:H25">
    <cfRule type="cellIs" dxfId="15" priority="3" operator="equal">
      <formula>TRUE</formula>
    </cfRule>
    <cfRule type="cellIs" dxfId="14" priority="4" operator="equal">
      <formula>FALSE</formula>
    </cfRule>
  </conditionalFormatting>
  <conditionalFormatting sqref="H27:H34">
    <cfRule type="cellIs" dxfId="13" priority="1" operator="equal">
      <formula>TRUE</formula>
    </cfRule>
    <cfRule type="cellIs" dxfId="12" priority="2" operator="equal">
      <formula>FALSE</formula>
    </cfRule>
  </conditionalFormatting>
  <pageMargins left="0.23622047244094491" right="0.23622047244094491" top="0.74803149606299213" bottom="0.74803149606299213" header="0.31496062992125984" footer="0.31496062992125984"/>
  <pageSetup paperSize="9" scale="64" orientation="landscape" horizontalDpi="300" verticalDpi="3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Plan6">
    <tabColor rgb="FF2A5664"/>
  </sheetPr>
  <dimension ref="A1:AP28"/>
  <sheetViews>
    <sheetView showGridLines="0" topLeftCell="E17" zoomScale="70" zoomScaleNormal="70" workbookViewId="0">
      <selection activeCell="E25" sqref="E25"/>
    </sheetView>
  </sheetViews>
  <sheetFormatPr defaultColWidth="9.140625" defaultRowHeight="26.25" zeroHeight="1"/>
  <cols>
    <col min="1" max="1" width="7.85546875" style="99" bestFit="1" customWidth="1"/>
    <col min="2" max="2" width="47.5703125" style="99" bestFit="1" customWidth="1"/>
    <col min="3" max="3" width="10.42578125" style="99" bestFit="1" customWidth="1"/>
    <col min="4" max="4" width="23.85546875" style="99" bestFit="1" customWidth="1"/>
    <col min="5" max="5" width="20.140625" style="99" bestFit="1" customWidth="1"/>
    <col min="6" max="6" width="14.42578125" style="99" bestFit="1" customWidth="1"/>
    <col min="7" max="7" width="14" style="99" hidden="1" customWidth="1"/>
    <col min="8" max="9" width="16.7109375" style="99" hidden="1" customWidth="1"/>
    <col min="10" max="10" width="22.7109375" style="99" customWidth="1"/>
    <col min="11" max="11" width="7.85546875" style="99" bestFit="1" customWidth="1"/>
    <col min="12" max="12" width="53" style="99" customWidth="1"/>
    <col min="13" max="13" width="10.42578125" style="99" bestFit="1" customWidth="1"/>
    <col min="14" max="14" width="23.85546875" style="99" bestFit="1" customWidth="1"/>
    <col min="15" max="15" width="20.140625" style="99" bestFit="1" customWidth="1"/>
    <col min="16" max="16" width="14.28515625" style="99" customWidth="1"/>
    <col min="17" max="17" width="14.42578125" style="99" hidden="1" customWidth="1"/>
    <col min="18" max="19" width="17.28515625" style="99" hidden="1" customWidth="1"/>
    <col min="20" max="20" width="22.85546875" style="154" hidden="1" customWidth="1"/>
    <col min="21" max="41" width="9.140625" style="154" hidden="1" customWidth="1"/>
    <col min="42" max="42" width="20.140625" style="154" hidden="1" customWidth="1"/>
    <col min="43" max="16383" width="9.140625" style="154"/>
    <col min="16384" max="16384" width="0.140625" style="154" customWidth="1"/>
  </cols>
  <sheetData>
    <row r="1" spans="1:42" hidden="1">
      <c r="A1" s="463" t="s">
        <v>402</v>
      </c>
      <c r="B1" s="463"/>
      <c r="C1" s="463"/>
      <c r="D1" s="463"/>
      <c r="E1" s="463"/>
      <c r="F1" s="463"/>
      <c r="G1" s="464"/>
      <c r="H1" s="464"/>
      <c r="I1" s="464"/>
      <c r="J1" s="464"/>
      <c r="K1" s="464"/>
      <c r="L1" s="463"/>
      <c r="M1" s="463"/>
      <c r="N1" s="463"/>
      <c r="O1" s="463"/>
      <c r="P1" s="463"/>
      <c r="Q1" s="335"/>
      <c r="S1" s="441"/>
      <c r="T1" s="459"/>
      <c r="U1" s="459"/>
      <c r="V1" s="459"/>
      <c r="W1" s="459"/>
    </row>
    <row r="2" spans="1:42">
      <c r="A2" s="406" t="s">
        <v>403</v>
      </c>
      <c r="B2" s="406"/>
      <c r="C2" s="406"/>
      <c r="D2" s="406"/>
      <c r="E2" s="406"/>
      <c r="F2" s="406"/>
      <c r="G2" s="406"/>
      <c r="H2" s="406"/>
      <c r="I2" s="406"/>
      <c r="J2" s="406"/>
      <c r="K2" s="406"/>
      <c r="L2" s="406"/>
      <c r="M2" s="406"/>
      <c r="N2" s="406"/>
      <c r="O2" s="406"/>
      <c r="P2" s="406"/>
      <c r="Q2" s="100"/>
      <c r="S2" s="441"/>
      <c r="T2" s="459"/>
      <c r="U2" s="459"/>
      <c r="V2" s="459"/>
      <c r="W2" s="459"/>
    </row>
    <row r="3" spans="1:42"/>
    <row r="4" spans="1:42" ht="36" customHeight="1">
      <c r="A4" s="465" t="s">
        <v>404</v>
      </c>
      <c r="B4" s="466" t="s">
        <v>405</v>
      </c>
      <c r="C4" s="466"/>
      <c r="D4" s="333" t="s">
        <v>406</v>
      </c>
      <c r="E4" s="333" t="s">
        <v>407</v>
      </c>
      <c r="F4" s="333" t="s">
        <v>408</v>
      </c>
      <c r="G4" s="292" t="s">
        <v>409</v>
      </c>
      <c r="I4" s="196"/>
      <c r="J4" s="196"/>
      <c r="K4" s="465" t="s">
        <v>404</v>
      </c>
      <c r="L4" s="466" t="s">
        <v>410</v>
      </c>
      <c r="M4" s="466"/>
      <c r="N4" s="333" t="s">
        <v>406</v>
      </c>
      <c r="O4" s="333" t="s">
        <v>407</v>
      </c>
      <c r="P4" s="333" t="s">
        <v>383</v>
      </c>
      <c r="Q4" s="336"/>
      <c r="V4" s="441" t="s">
        <v>411</v>
      </c>
      <c r="W4" s="441"/>
      <c r="X4" s="441"/>
      <c r="Y4" s="441"/>
      <c r="Z4" s="441"/>
      <c r="AA4" s="441"/>
      <c r="AB4" s="441"/>
      <c r="AC4" s="441"/>
      <c r="AD4" s="441"/>
      <c r="AE4" s="441"/>
      <c r="AF4" s="441"/>
      <c r="AG4" s="441"/>
      <c r="AH4" s="441"/>
      <c r="AI4" s="441"/>
      <c r="AJ4" s="441"/>
      <c r="AK4" s="441"/>
      <c r="AL4" s="441"/>
      <c r="AM4" s="441"/>
      <c r="AN4" s="315"/>
      <c r="AO4" s="315"/>
      <c r="AP4" s="315"/>
    </row>
    <row r="5" spans="1:42" ht="36" customHeight="1">
      <c r="A5" s="465"/>
      <c r="B5" s="461" t="s">
        <v>412</v>
      </c>
      <c r="C5" s="461"/>
      <c r="D5" s="14">
        <f>'Anexo 1. Fontes e Aplicações'!C9</f>
        <v>10220993.389999999</v>
      </c>
      <c r="E5" s="14">
        <f>'Anexo 1. Fontes e Aplicações'!D9</f>
        <v>11499387.240000002</v>
      </c>
      <c r="F5" s="15">
        <f>IFERROR(E5/D5*100-100,0)</f>
        <v>12.507530346813027</v>
      </c>
      <c r="G5" s="306" t="b">
        <f>D5=[3]FORM.3!$E$4</f>
        <v>1</v>
      </c>
      <c r="H5" s="153">
        <f>'Anexo 1. Fontes e Aplicações'!D9</f>
        <v>11499387.240000002</v>
      </c>
      <c r="I5" s="307" t="b">
        <f>H5=E5</f>
        <v>1</v>
      </c>
      <c r="J5" s="153"/>
      <c r="K5" s="467"/>
      <c r="L5" s="460" t="s">
        <v>413</v>
      </c>
      <c r="M5" s="460"/>
      <c r="N5" s="156">
        <v>5729599.9408763899</v>
      </c>
      <c r="O5" s="206">
        <f>'Anexo 3. Elemento de Despesas'!E47</f>
        <v>6851395.6788590681</v>
      </c>
      <c r="P5" s="15">
        <f>IFERROR(O5/N5*100-100,0)</f>
        <v>19.578954020498159</v>
      </c>
      <c r="Q5" s="337"/>
      <c r="R5" s="303" t="b">
        <f>N5=[3]FORM.3!$L$4</f>
        <v>1</v>
      </c>
      <c r="S5" s="203">
        <f>'Anexo 3. Elemento de Despesas'!E47</f>
        <v>6851395.6788590681</v>
      </c>
      <c r="T5" s="303" t="b">
        <f>S5=O5</f>
        <v>1</v>
      </c>
      <c r="V5" s="441"/>
      <c r="W5" s="441"/>
      <c r="X5" s="441"/>
      <c r="Y5" s="441"/>
      <c r="Z5" s="441"/>
      <c r="AA5" s="441"/>
      <c r="AB5" s="441"/>
      <c r="AC5" s="441"/>
      <c r="AD5" s="441"/>
      <c r="AE5" s="441"/>
      <c r="AF5" s="441"/>
      <c r="AG5" s="441"/>
      <c r="AH5" s="441"/>
      <c r="AI5" s="441"/>
      <c r="AJ5" s="441"/>
      <c r="AK5" s="441"/>
      <c r="AL5" s="441"/>
      <c r="AM5" s="441"/>
      <c r="AN5" s="315"/>
      <c r="AO5" s="315"/>
      <c r="AP5" s="315"/>
    </row>
    <row r="6" spans="1:42" ht="36" customHeight="1">
      <c r="A6" s="465"/>
      <c r="B6" s="461" t="s">
        <v>414</v>
      </c>
      <c r="C6" s="461"/>
      <c r="D6" s="14">
        <f>'Anexo 1. Fontes e Aplicações'!C21</f>
        <v>0</v>
      </c>
      <c r="E6" s="14">
        <f>'Anexo 1. Fontes e Aplicações'!D21</f>
        <v>0</v>
      </c>
      <c r="F6" s="15">
        <f>IFERROR(E6/D6*100-100,0)</f>
        <v>0</v>
      </c>
      <c r="G6" s="306" t="b">
        <f>D6=[3]FORM.3!$E$5</f>
        <v>1</v>
      </c>
      <c r="H6" s="153">
        <f>'Anexo 1. Fontes e Aplicações'!D21</f>
        <v>0</v>
      </c>
      <c r="I6" s="307" t="b">
        <f>H6=E6</f>
        <v>1</v>
      </c>
      <c r="J6" s="153"/>
      <c r="K6" s="467"/>
      <c r="L6" s="460" t="s">
        <v>415</v>
      </c>
      <c r="M6" s="460"/>
      <c r="N6" s="156">
        <v>981248.02</v>
      </c>
      <c r="O6" s="157">
        <v>1153078.93</v>
      </c>
      <c r="P6" s="15">
        <f>IFERROR(O6/N6*100-100,0)</f>
        <v>17.511465653709024</v>
      </c>
      <c r="Q6" s="337"/>
      <c r="R6" s="303" t="b">
        <f>N6=[3]FORM.3!$L$5</f>
        <v>1</v>
      </c>
      <c r="S6" s="203">
        <f>479415.37+609948.54+28715.02+35000</f>
        <v>1153078.9300000002</v>
      </c>
      <c r="T6" s="303" t="b">
        <f t="shared" ref="T6:T7" si="0">S6=O6</f>
        <v>1</v>
      </c>
      <c r="V6" s="441"/>
      <c r="W6" s="441"/>
      <c r="X6" s="441"/>
      <c r="Y6" s="441"/>
      <c r="Z6" s="441"/>
      <c r="AA6" s="441"/>
      <c r="AB6" s="441"/>
      <c r="AC6" s="441"/>
      <c r="AD6" s="441"/>
      <c r="AE6" s="441"/>
      <c r="AF6" s="441"/>
      <c r="AG6" s="441"/>
      <c r="AH6" s="441"/>
      <c r="AI6" s="441"/>
      <c r="AJ6" s="441"/>
      <c r="AK6" s="441"/>
      <c r="AL6" s="441"/>
      <c r="AM6" s="441"/>
      <c r="AN6" s="315"/>
      <c r="AO6" s="315"/>
      <c r="AP6" s="315"/>
    </row>
    <row r="7" spans="1:42" ht="36" customHeight="1">
      <c r="A7" s="465"/>
      <c r="B7" s="477" t="s">
        <v>416</v>
      </c>
      <c r="C7" s="477"/>
      <c r="D7" s="197">
        <f>SUM(D5:D6)</f>
        <v>10220993.389999999</v>
      </c>
      <c r="E7" s="197">
        <f>SUM(E5:E6)</f>
        <v>11499387.240000002</v>
      </c>
      <c r="F7" s="198">
        <f>IFERROR(E7/D7*100-100,0)</f>
        <v>12.507530346813027</v>
      </c>
      <c r="G7" s="306" t="b">
        <f>D7=[3]FORM.3!$E$6</f>
        <v>1</v>
      </c>
      <c r="H7" s="153">
        <f>H5+H6</f>
        <v>11499387.240000002</v>
      </c>
      <c r="I7" s="307" t="b">
        <f>H7=E7</f>
        <v>1</v>
      </c>
      <c r="J7" s="153"/>
      <c r="K7" s="467"/>
      <c r="L7" s="460" t="s">
        <v>417</v>
      </c>
      <c r="M7" s="460"/>
      <c r="N7" s="205">
        <f>'Anexo 1. Fontes e Aplicações'!C8</f>
        <v>10610152.68</v>
      </c>
      <c r="O7" s="206">
        <f>'Anexo 1. Fontes e Aplicações'!D8</f>
        <v>12047133.760000002</v>
      </c>
      <c r="P7" s="15">
        <f>IFERROR(O7/N7*100-100,0)</f>
        <v>13.543453363387428</v>
      </c>
      <c r="Q7" s="337"/>
      <c r="R7" s="303" t="b">
        <f>N7=[3]FORM.3!$L$6</f>
        <v>1</v>
      </c>
      <c r="S7" s="203">
        <f>'Anexo 1. Fontes e Aplicações'!D8</f>
        <v>12047133.760000002</v>
      </c>
      <c r="T7" s="303" t="b">
        <f t="shared" si="0"/>
        <v>1</v>
      </c>
      <c r="V7" s="441"/>
      <c r="W7" s="441"/>
      <c r="X7" s="441"/>
      <c r="Y7" s="441"/>
      <c r="Z7" s="441"/>
      <c r="AA7" s="441"/>
      <c r="AB7" s="441"/>
      <c r="AC7" s="441"/>
      <c r="AD7" s="441"/>
      <c r="AE7" s="441"/>
      <c r="AF7" s="441"/>
      <c r="AG7" s="441"/>
      <c r="AH7" s="441"/>
      <c r="AI7" s="441"/>
      <c r="AJ7" s="441"/>
      <c r="AK7" s="441"/>
      <c r="AL7" s="441"/>
      <c r="AM7" s="441"/>
      <c r="AN7" s="315"/>
      <c r="AO7" s="315"/>
      <c r="AP7" s="315"/>
    </row>
    <row r="8" spans="1:42" ht="36" customHeight="1">
      <c r="A8" s="465"/>
      <c r="B8" s="461" t="s">
        <v>418</v>
      </c>
      <c r="C8" s="461"/>
      <c r="D8" s="14">
        <f>'Anexo 1. Fontes e Aplicações'!C31</f>
        <v>217058.38</v>
      </c>
      <c r="E8" s="14">
        <f>'Anexo 1. Fontes e Aplicações'!D31</f>
        <v>207992.07</v>
      </c>
      <c r="F8" s="15">
        <f>IFERROR(E8/D8*100-100,0)</f>
        <v>-4.1768993208186629</v>
      </c>
      <c r="G8" s="306" t="b">
        <f>D8=[3]FORM.3!$E$7</f>
        <v>1</v>
      </c>
      <c r="H8" s="153">
        <f>'Anexo 1. Fontes e Aplicações'!D31</f>
        <v>207992.07</v>
      </c>
      <c r="I8" s="307" t="b">
        <f>H8=E8</f>
        <v>1</v>
      </c>
      <c r="J8" s="153"/>
      <c r="K8" s="462"/>
      <c r="L8" s="462"/>
      <c r="M8" s="155"/>
      <c r="N8" s="158"/>
      <c r="O8" s="159"/>
      <c r="P8" s="159"/>
      <c r="Q8" s="159"/>
      <c r="R8" s="294"/>
      <c r="S8" s="159"/>
    </row>
    <row r="9" spans="1:42" ht="36" customHeight="1">
      <c r="A9" s="465"/>
      <c r="B9" s="413" t="s">
        <v>419</v>
      </c>
      <c r="C9" s="413"/>
      <c r="D9" s="197">
        <f>D7-D8</f>
        <v>10003935.009999998</v>
      </c>
      <c r="E9" s="197">
        <f>E7-E8</f>
        <v>11291395.170000002</v>
      </c>
      <c r="F9" s="198">
        <f>IFERROR(E9/D9*100-100,0)</f>
        <v>12.869537424154103</v>
      </c>
      <c r="G9" s="306" t="b">
        <f>D9=[3]FORM.3!$E$8</f>
        <v>1</v>
      </c>
      <c r="H9" s="153">
        <f>H7-H8</f>
        <v>11291395.170000002</v>
      </c>
      <c r="I9" s="307" t="b">
        <f>H9=E9</f>
        <v>1</v>
      </c>
      <c r="J9" s="153"/>
      <c r="K9" s="143"/>
      <c r="L9" s="143"/>
      <c r="M9" s="155"/>
      <c r="N9" s="160"/>
      <c r="O9" s="161"/>
      <c r="P9" s="160"/>
      <c r="Q9" s="160"/>
      <c r="R9" s="295"/>
      <c r="S9" s="162"/>
    </row>
    <row r="10" spans="1:42" ht="36" customHeight="1">
      <c r="A10" s="163"/>
      <c r="B10" s="164"/>
      <c r="C10" s="164"/>
      <c r="D10" s="165"/>
      <c r="E10" s="165"/>
      <c r="F10" s="160"/>
      <c r="G10" s="293"/>
      <c r="H10" s="165"/>
      <c r="I10" s="165"/>
      <c r="J10" s="165"/>
      <c r="K10" s="143"/>
      <c r="L10" s="143"/>
      <c r="M10" s="155"/>
      <c r="N10" s="160"/>
      <c r="O10" s="161"/>
      <c r="P10" s="160"/>
      <c r="Q10" s="160"/>
      <c r="R10" s="296"/>
      <c r="S10" s="166"/>
    </row>
    <row r="11" spans="1:42" ht="36" customHeight="1">
      <c r="A11" s="465" t="s">
        <v>420</v>
      </c>
      <c r="B11" s="466" t="s">
        <v>421</v>
      </c>
      <c r="C11" s="466"/>
      <c r="D11" s="333" t="s">
        <v>406</v>
      </c>
      <c r="E11" s="333" t="s">
        <v>407</v>
      </c>
      <c r="F11" s="333" t="s">
        <v>422</v>
      </c>
      <c r="G11" s="293"/>
      <c r="H11" s="165"/>
      <c r="I11" s="165"/>
      <c r="J11" s="165"/>
      <c r="K11" s="466" t="s">
        <v>421</v>
      </c>
      <c r="L11" s="466"/>
      <c r="M11" s="466"/>
      <c r="N11" s="333" t="s">
        <v>406</v>
      </c>
      <c r="O11" s="333" t="s">
        <v>407</v>
      </c>
      <c r="P11" s="333" t="s">
        <v>423</v>
      </c>
      <c r="Q11" s="336"/>
      <c r="R11" s="295"/>
      <c r="S11" s="162"/>
    </row>
    <row r="12" spans="1:42" ht="36" customHeight="1">
      <c r="A12" s="465"/>
      <c r="B12" s="470" t="s">
        <v>424</v>
      </c>
      <c r="C12" s="199" t="s">
        <v>425</v>
      </c>
      <c r="D12" s="156">
        <f>'Quadro Geral'!H10+'Quadro Geral'!H31+'Quadro Geral'!H32+'Quadro Geral'!H33</f>
        <v>2310452.2340000002</v>
      </c>
      <c r="E12" s="157">
        <f>'Quadro Geral'!I10+'Quadro Geral'!I31+'Quadro Geral'!I32+'Quadro Geral'!I33</f>
        <v>2650055.6396340225</v>
      </c>
      <c r="F12" s="15">
        <f>IFERROR(E12/D12*100-100,)</f>
        <v>14.698568558852216</v>
      </c>
      <c r="G12" s="306" t="b">
        <f>D12=[3]FORM.3!$E$11</f>
        <v>1</v>
      </c>
      <c r="H12" s="203">
        <f>SUMIF('Quadro Geral'!$E:$E,'Validação de dados'!D15,'Quadro Geral'!$I:$I)</f>
        <v>2650055.6396340225</v>
      </c>
      <c r="I12" s="308" t="b">
        <f t="shared" ref="I12:I17" si="1">H12=E12</f>
        <v>1</v>
      </c>
      <c r="J12" s="203"/>
      <c r="K12" s="472" t="s">
        <v>426</v>
      </c>
      <c r="L12" s="472"/>
      <c r="M12" s="199" t="s">
        <v>425</v>
      </c>
      <c r="N12" s="205">
        <f>(N5-N6)</f>
        <v>4748351.9208763894</v>
      </c>
      <c r="O12" s="206">
        <f>(O5-O6)</f>
        <v>5698316.7488590684</v>
      </c>
      <c r="P12" s="15">
        <f>IFERROR(O12/N12*100-100,0)</f>
        <v>20.00620096851091</v>
      </c>
      <c r="Q12" s="337"/>
      <c r="R12" s="303" t="b">
        <f>N12=[3]FORM.3!$L$11</f>
        <v>1</v>
      </c>
      <c r="S12" s="203">
        <f>S5-S6</f>
        <v>5698316.7488590684</v>
      </c>
      <c r="T12" s="303" t="b">
        <f>O12=S12</f>
        <v>1</v>
      </c>
      <c r="U12" s="167"/>
    </row>
    <row r="13" spans="1:42" ht="36" customHeight="1">
      <c r="A13" s="465"/>
      <c r="B13" s="471"/>
      <c r="C13" s="200" t="s">
        <v>427</v>
      </c>
      <c r="D13" s="202">
        <f>IFERROR(D12/$D$9,0)</f>
        <v>0.23095434263521877</v>
      </c>
      <c r="E13" s="202">
        <f>IFERROR(E12/$E$9,0)</f>
        <v>0.23469691740795057</v>
      </c>
      <c r="F13" s="201">
        <f>(E13-D13)*100</f>
        <v>0.37425747727317937</v>
      </c>
      <c r="G13" s="306" t="b">
        <f>D13=[3]FORM.3!$E$12</f>
        <v>1</v>
      </c>
      <c r="H13" s="204">
        <f>IFERROR(H12/$H$9,)</f>
        <v>0.23469691740795057</v>
      </c>
      <c r="I13" s="309" t="b">
        <f t="shared" si="1"/>
        <v>1</v>
      </c>
      <c r="J13" s="204"/>
      <c r="K13" s="472"/>
      <c r="L13" s="472"/>
      <c r="M13" s="200" t="s">
        <v>427</v>
      </c>
      <c r="N13" s="207">
        <f>IFERROR(N12/N7,)</f>
        <v>0.44752908502692623</v>
      </c>
      <c r="O13" s="207">
        <f>IFERROR(O12/O7,)</f>
        <v>0.47300186603548328</v>
      </c>
      <c r="P13" s="201">
        <f>(O13-N13)*100</f>
        <v>2.5472781008557046</v>
      </c>
      <c r="Q13" s="338"/>
      <c r="R13" s="304" t="b">
        <f>N13=[3]FORM.3!$L$12</f>
        <v>1</v>
      </c>
      <c r="S13" s="208">
        <f>IFERROR(S12/S7,)</f>
        <v>0.47300186603548328</v>
      </c>
      <c r="T13" s="303" t="b">
        <f>S13=O13</f>
        <v>1</v>
      </c>
      <c r="U13" s="167"/>
    </row>
    <row r="14" spans="1:42" ht="36" customHeight="1">
      <c r="A14" s="465"/>
      <c r="B14" s="473" t="s">
        <v>428</v>
      </c>
      <c r="C14" s="199" t="s">
        <v>425</v>
      </c>
      <c r="D14" s="156">
        <f>'Quadro Geral'!H34+'Quadro Geral'!H35</f>
        <v>1617155.10659278</v>
      </c>
      <c r="E14" s="157">
        <f>'Quadro Geral'!I34+'Quadro Geral'!I35+'Quadro Geral'!I41+'Quadro Geral'!I42+'Quadro Geral'!I43+'Quadro Geral'!I44+'Quadro Geral'!I45+'Quadro Geral'!I25</f>
        <v>2563110.2904197378</v>
      </c>
      <c r="F14" s="15">
        <f>IFERROR(E14/D14*100-100,)</f>
        <v>58.495018812389134</v>
      </c>
      <c r="G14" s="306" t="b">
        <f>D14=[3]FORM.3!$E$13</f>
        <v>1</v>
      </c>
      <c r="H14" s="203">
        <f>SUMIF('Quadro Geral'!$E:$E,'Validação de dados'!D2,'Quadro Geral'!$I:$I)</f>
        <v>2563110.2904197378</v>
      </c>
      <c r="I14" s="308" t="b">
        <f t="shared" si="1"/>
        <v>1</v>
      </c>
      <c r="J14" s="203"/>
      <c r="K14" s="469" t="s">
        <v>429</v>
      </c>
      <c r="L14" s="469"/>
      <c r="M14" s="199" t="s">
        <v>425</v>
      </c>
      <c r="N14" s="156">
        <f>'Quadro Geral'!H24</f>
        <v>119283.17</v>
      </c>
      <c r="O14" s="157">
        <f>'Quadro Geral'!I24</f>
        <v>80000</v>
      </c>
      <c r="P14" s="15">
        <f>IFERROR(O14/N14*100-100,0)</f>
        <v>-32.932701235220364</v>
      </c>
      <c r="Q14" s="337"/>
      <c r="R14" s="303" t="b">
        <f>N14=[3]FORM.3!$L$13</f>
        <v>1</v>
      </c>
      <c r="S14" s="203">
        <f>SUMIF('Quadro Geral'!$E:$E,'Validação de dados'!D6,'Quadro Geral'!$I:$I)</f>
        <v>80000</v>
      </c>
      <c r="T14" s="303" t="b">
        <f>S14=O14</f>
        <v>1</v>
      </c>
    </row>
    <row r="15" spans="1:42" ht="36" customHeight="1">
      <c r="A15" s="465"/>
      <c r="B15" s="474"/>
      <c r="C15" s="200" t="s">
        <v>427</v>
      </c>
      <c r="D15" s="202">
        <f>IFERROR(D14/$D$9,0)</f>
        <v>0.16165190047478931</v>
      </c>
      <c r="E15" s="202">
        <f>IFERROR(E14/$E$9,0)</f>
        <v>0.22699677513985522</v>
      </c>
      <c r="F15" s="201">
        <f>(E15-D15)*100</f>
        <v>6.534487466506592</v>
      </c>
      <c r="G15" s="306" t="b">
        <f>D15=[3]FORM.3!$E$14</f>
        <v>1</v>
      </c>
      <c r="H15" s="204">
        <f>IFERROR(H14/$H$9,)</f>
        <v>0.22699677513985522</v>
      </c>
      <c r="I15" s="309" t="b">
        <f t="shared" si="1"/>
        <v>1</v>
      </c>
      <c r="J15" s="204"/>
      <c r="K15" s="469"/>
      <c r="L15" s="469"/>
      <c r="M15" s="200" t="s">
        <v>427</v>
      </c>
      <c r="N15" s="207">
        <f>IFERROR(N14/N5,)</f>
        <v>2.0818760686763523E-2</v>
      </c>
      <c r="O15" s="305">
        <f>IFERROR(O14/O5,)</f>
        <v>1.1676453054207787E-2</v>
      </c>
      <c r="P15" s="201">
        <f>(O15-N15)*100</f>
        <v>-0.91423076325557362</v>
      </c>
      <c r="Q15" s="338"/>
      <c r="R15" s="304" t="b">
        <f>N15=[3]FORM.3!$L$14</f>
        <v>1</v>
      </c>
      <c r="S15" s="208">
        <f>IFERROR(S14/S5,)</f>
        <v>1.1676453054207787E-2</v>
      </c>
      <c r="T15" s="303" t="b">
        <f>S15=O15</f>
        <v>1</v>
      </c>
    </row>
    <row r="16" spans="1:42" ht="36" customHeight="1">
      <c r="A16" s="465"/>
      <c r="B16" s="469" t="s">
        <v>430</v>
      </c>
      <c r="C16" s="199" t="s">
        <v>425</v>
      </c>
      <c r="D16" s="156">
        <f>'Quadro Geral'!H26+'Quadro Geral'!H41+'Quadro Geral'!H42+'Quadro Geral'!H43+'Quadro Geral'!H44+'Quadro Geral'!H45</f>
        <v>966545.71102138888</v>
      </c>
      <c r="E16" s="157">
        <f>'Quadro Geral'!I26</f>
        <v>429409.08843633335</v>
      </c>
      <c r="F16" s="15">
        <f>IFERROR(E16/D16*100-100,)</f>
        <v>-55.572811141797011</v>
      </c>
      <c r="G16" s="306" t="b">
        <f>D16=[3]FORM.3!$E$15</f>
        <v>1</v>
      </c>
      <c r="H16" s="203">
        <f>SUMIF('Quadro Geral'!$E:$E,'Validação de dados'!D3,'Quadro Geral'!$I:$I)</f>
        <v>429409.08843633335</v>
      </c>
      <c r="I16" s="308" t="b">
        <f t="shared" si="1"/>
        <v>1</v>
      </c>
      <c r="J16" s="203"/>
      <c r="R16" s="297"/>
    </row>
    <row r="17" spans="1:17" ht="36" customHeight="1">
      <c r="A17" s="465"/>
      <c r="B17" s="469"/>
      <c r="C17" s="200" t="s">
        <v>427</v>
      </c>
      <c r="D17" s="202">
        <f>IFERROR(D16/$D$9,0)</f>
        <v>9.6616552392156038E-2</v>
      </c>
      <c r="E17" s="202">
        <f>IFERROR(E16/$E$9,0)</f>
        <v>3.8029763547486689E-2</v>
      </c>
      <c r="F17" s="201">
        <f>(E17-D17)*100</f>
        <v>-5.8586788844669346</v>
      </c>
      <c r="G17" s="306" t="b">
        <f>D17=[3]FORM.3!$E$16</f>
        <v>1</v>
      </c>
      <c r="H17" s="204">
        <f>IFERROR(H16/$H$9,)</f>
        <v>3.8029763547486689E-2</v>
      </c>
      <c r="I17" s="309" t="b">
        <f t="shared" si="1"/>
        <v>1</v>
      </c>
      <c r="J17" s="204"/>
      <c r="K17" s="475" t="s">
        <v>431</v>
      </c>
      <c r="L17" s="475"/>
      <c r="M17" s="476" t="s">
        <v>432</v>
      </c>
      <c r="N17" s="476"/>
      <c r="O17" s="476"/>
      <c r="P17" s="476"/>
      <c r="Q17" s="332"/>
    </row>
    <row r="18" spans="1:17" ht="36" customHeight="1">
      <c r="A18" s="465"/>
      <c r="B18" s="469" t="s">
        <v>433</v>
      </c>
      <c r="C18" s="199" t="s">
        <v>425</v>
      </c>
      <c r="D18" s="156">
        <f>'Quadro Geral'!H18+'Quadro Geral'!H19+'Quadro Geral'!H20+'Quadro Geral'!H47</f>
        <v>422800</v>
      </c>
      <c r="E18" s="157">
        <f>'Quadro Geral'!I18+'Quadro Geral'!I19+'Quadro Geral'!I20+'Quadro Geral'!I47</f>
        <v>422800</v>
      </c>
      <c r="F18" s="15">
        <f>IFERROR(E18/D18*100-100,)</f>
        <v>0</v>
      </c>
      <c r="G18" s="306" t="b">
        <f>D18=[3]FORM.3!$E$17</f>
        <v>1</v>
      </c>
      <c r="H18" s="203">
        <f>'Quadro Geral'!I18+'Quadro Geral'!I19+'Quadro Geral'!I20+'Quadro Geral'!I47</f>
        <v>422800</v>
      </c>
      <c r="I18" s="309" t="b">
        <f t="shared" ref="I18:I25" si="2">H18=E18</f>
        <v>1</v>
      </c>
      <c r="J18" s="203"/>
      <c r="K18" s="475"/>
      <c r="L18" s="475"/>
      <c r="M18" s="476"/>
      <c r="N18" s="476"/>
      <c r="O18" s="476"/>
      <c r="P18" s="476"/>
      <c r="Q18" s="332"/>
    </row>
    <row r="19" spans="1:17" ht="68.25" customHeight="1">
      <c r="A19" s="465"/>
      <c r="B19" s="469"/>
      <c r="C19" s="200" t="s">
        <v>427</v>
      </c>
      <c r="D19" s="202">
        <f>IFERROR(D18/$D$9,0)</f>
        <v>4.2263369321908467E-2</v>
      </c>
      <c r="E19" s="202">
        <f>IFERROR(E18/$E$9,0)</f>
        <v>3.744444274905312E-2</v>
      </c>
      <c r="F19" s="201">
        <f>(E19-D19)*100</f>
        <v>-0.48189265728553476</v>
      </c>
      <c r="G19" s="306" t="b">
        <f>D19=[3]FORM.3!$E$18</f>
        <v>1</v>
      </c>
      <c r="H19" s="204">
        <f>IFERROR(H18/$H$9,)</f>
        <v>3.744444274905312E-2</v>
      </c>
      <c r="I19" s="309" t="b">
        <f t="shared" si="2"/>
        <v>1</v>
      </c>
      <c r="J19" s="203"/>
      <c r="K19" s="475"/>
      <c r="L19" s="475"/>
      <c r="M19" s="476"/>
      <c r="N19" s="476"/>
      <c r="O19" s="476"/>
      <c r="P19" s="476"/>
      <c r="Q19" s="332"/>
    </row>
    <row r="20" spans="1:17" ht="36" customHeight="1">
      <c r="A20" s="465"/>
      <c r="B20" s="469" t="s">
        <v>434</v>
      </c>
      <c r="C20" s="199" t="s">
        <v>425</v>
      </c>
      <c r="D20" s="156">
        <f>'Quadro Geral'!H12+'Quadro Geral'!H17+'Quadro Geral'!H18+'Quadro Geral'!H19+'Quadro Geral'!H20+'Quadro Geral'!H27+'Quadro Geral'!H30+'Quadro Geral'!H36+'Quadro Geral'!H40+'Quadro Geral'!H47+'Quadro Geral'!H26+'Quadro Geral'!H41+'Quadro Geral'!H42+'Quadro Geral'!H43+'Quadro Geral'!H44+'Quadro Geral'!H45</f>
        <v>2839979.6790016666</v>
      </c>
      <c r="E20" s="157">
        <f>'Quadro Geral'!I12+'Quadro Geral'!I17+'Quadro Geral'!I18+'Quadro Geral'!I20+'Quadro Geral'!I26+'Quadro Geral'!I27+'Quadro Geral'!I30+'Quadro Geral'!I36+'Quadro Geral'!I40+'Quadro Geral'!I47+'Quadro Geral'!I19</f>
        <v>2794096.1220646002</v>
      </c>
      <c r="F20" s="15">
        <f>IFERROR(E20/D20*100-100,)</f>
        <v>-1.6156297622944891</v>
      </c>
      <c r="G20" s="306" t="b">
        <f>D20=[3]FORM.3!$E$19</f>
        <v>1</v>
      </c>
      <c r="H20" s="203">
        <f>SUMIF('Quadro Geral'!$E:$E,'Matriz de Obj. Estrat.'!M3,'Quadro Geral'!$I:$I)+SUMIF('Quadro Geral'!$E:$E,'Matriz de Obj. Estrat.'!M4,'Quadro Geral'!$I:$I)+SUMIF('Quadro Geral'!$E:$E,'Matriz de Obj. Estrat.'!M5,'Quadro Geral'!$I:$I)</f>
        <v>2794096.1220646007</v>
      </c>
      <c r="I20" s="308" t="b">
        <f t="shared" si="2"/>
        <v>1</v>
      </c>
      <c r="J20" s="203"/>
      <c r="K20" s="475"/>
      <c r="L20" s="475"/>
      <c r="M20" s="476"/>
      <c r="N20" s="476"/>
      <c r="O20" s="476"/>
      <c r="P20" s="476"/>
      <c r="Q20" s="332"/>
    </row>
    <row r="21" spans="1:17" ht="36" customHeight="1">
      <c r="A21" s="465"/>
      <c r="B21" s="469"/>
      <c r="C21" s="200" t="s">
        <v>427</v>
      </c>
      <c r="D21" s="202">
        <f>IFERROR(D20/$D$9,0)</f>
        <v>0.28388625837361042</v>
      </c>
      <c r="E21" s="202">
        <f>IFERROR(E20/$E$9,0)</f>
        <v>0.24745357681645994</v>
      </c>
      <c r="F21" s="201">
        <f>(E21-D21)*100</f>
        <v>-3.6432681557150488</v>
      </c>
      <c r="G21" s="306" t="b">
        <f>D21=[3]FORM.3!$E$20</f>
        <v>1</v>
      </c>
      <c r="H21" s="204">
        <f>IFERROR(H20/$H$9,)</f>
        <v>0.24745357681645999</v>
      </c>
      <c r="I21" s="309" t="b">
        <f t="shared" si="2"/>
        <v>1</v>
      </c>
      <c r="J21" s="204"/>
      <c r="K21" s="475"/>
      <c r="L21" s="475"/>
      <c r="M21" s="476"/>
      <c r="N21" s="476"/>
      <c r="O21" s="476"/>
      <c r="P21" s="476"/>
      <c r="Q21" s="332"/>
    </row>
    <row r="22" spans="1:17" ht="36" customHeight="1">
      <c r="A22" s="465"/>
      <c r="B22" s="469" t="s">
        <v>435</v>
      </c>
      <c r="C22" s="199" t="s">
        <v>425</v>
      </c>
      <c r="D22" s="156">
        <f>'Quadro Geral'!H21</f>
        <v>300000</v>
      </c>
      <c r="E22" s="157">
        <f>'Quadro Geral'!I21</f>
        <v>300000</v>
      </c>
      <c r="F22" s="15">
        <f>IFERROR(E22/D22*100-100,)</f>
        <v>0</v>
      </c>
      <c r="G22" s="306" t="b">
        <f>D22=[3]FORM.3!$E$21</f>
        <v>1</v>
      </c>
      <c r="H22" s="203">
        <f>'Quadro Geral'!I21</f>
        <v>300000</v>
      </c>
      <c r="I22" s="309" t="b">
        <f t="shared" si="2"/>
        <v>1</v>
      </c>
      <c r="J22" s="204"/>
      <c r="K22" s="475"/>
      <c r="L22" s="475"/>
      <c r="M22" s="476"/>
      <c r="N22" s="476"/>
      <c r="O22" s="476"/>
      <c r="P22" s="476"/>
      <c r="Q22" s="332"/>
    </row>
    <row r="23" spans="1:17" ht="36" customHeight="1">
      <c r="A23" s="465"/>
      <c r="B23" s="469"/>
      <c r="C23" s="200" t="s">
        <v>427</v>
      </c>
      <c r="D23" s="202">
        <f>IFERROR(D22/$D$9,0)</f>
        <v>2.9988199613463908E-2</v>
      </c>
      <c r="E23" s="202">
        <f>IFERROR(E22/$E$9,0)</f>
        <v>2.6568904505004581E-2</v>
      </c>
      <c r="F23" s="201">
        <f>(E23-D23)*100</f>
        <v>-0.34192951084593276</v>
      </c>
      <c r="G23" s="306" t="b">
        <f>D23=[3]FORM.3!$E$22</f>
        <v>1</v>
      </c>
      <c r="H23" s="204">
        <f>IFERROR(H22/$H$9,)</f>
        <v>2.6568904505004581E-2</v>
      </c>
      <c r="I23" s="309" t="b">
        <f t="shared" si="2"/>
        <v>1</v>
      </c>
      <c r="J23" s="204"/>
    </row>
    <row r="24" spans="1:17" ht="36" customHeight="1">
      <c r="A24" s="465"/>
      <c r="B24" s="469" t="s">
        <v>436</v>
      </c>
      <c r="C24" s="199" t="s">
        <v>425</v>
      </c>
      <c r="D24" s="223">
        <f>'Anexo 1. Fontes e Aplicações'!C33</f>
        <v>80000</v>
      </c>
      <c r="E24" s="223">
        <f>'Anexo 1. Fontes e Aplicações'!D33</f>
        <v>30000</v>
      </c>
      <c r="F24" s="15">
        <f>IFERROR(E24/D24*100-100,)</f>
        <v>-62.5</v>
      </c>
      <c r="G24" s="306" t="b">
        <f>D24=[3]FORM.3!$E$23</f>
        <v>1</v>
      </c>
      <c r="H24" s="203">
        <f>'Anexo 1. Fontes e Aplicações'!D33</f>
        <v>30000</v>
      </c>
      <c r="I24" s="308" t="b">
        <f t="shared" si="2"/>
        <v>1</v>
      </c>
      <c r="J24" s="203"/>
    </row>
    <row r="25" spans="1:17" ht="36" customHeight="1">
      <c r="A25" s="465"/>
      <c r="B25" s="469"/>
      <c r="C25" s="200" t="s">
        <v>427</v>
      </c>
      <c r="D25" s="202">
        <f>IFERROR(D24/$D$9,0)</f>
        <v>7.9968532302570425E-3</v>
      </c>
      <c r="E25" s="202">
        <f>IFERROR(E24/$E$9,0)</f>
        <v>2.656890450500458E-3</v>
      </c>
      <c r="F25" s="201">
        <f>(E25-D25)*100</f>
        <v>-0.53399627797565841</v>
      </c>
      <c r="G25" s="306" t="b">
        <f>D25=[3]FORM.3!$E$24</f>
        <v>1</v>
      </c>
      <c r="H25" s="204">
        <f>IFERROR(H24/$H$9,)</f>
        <v>2.656890450500458E-3</v>
      </c>
      <c r="I25" s="309" t="b">
        <f t="shared" si="2"/>
        <v>1</v>
      </c>
      <c r="J25" s="204"/>
    </row>
    <row r="26" spans="1:17">
      <c r="B26" s="131"/>
    </row>
    <row r="27" spans="1:17">
      <c r="A27" s="406" t="s">
        <v>437</v>
      </c>
      <c r="B27" s="406"/>
      <c r="C27" s="406"/>
      <c r="D27" s="406"/>
      <c r="E27" s="406"/>
      <c r="F27" s="406"/>
      <c r="G27" s="406"/>
      <c r="H27" s="406"/>
      <c r="I27" s="406"/>
      <c r="J27" s="406"/>
      <c r="K27" s="406"/>
      <c r="L27" s="406"/>
      <c r="M27" s="406"/>
      <c r="N27" s="406"/>
      <c r="O27" s="406"/>
      <c r="P27" s="406"/>
      <c r="Q27" s="100"/>
    </row>
    <row r="28" spans="1:17" ht="101.25" customHeight="1">
      <c r="A28" s="468" t="s">
        <v>438</v>
      </c>
      <c r="B28" s="468"/>
      <c r="C28" s="468"/>
      <c r="D28" s="468"/>
      <c r="E28" s="468"/>
      <c r="F28" s="468"/>
      <c r="G28" s="468"/>
      <c r="H28" s="468"/>
      <c r="I28" s="468"/>
      <c r="J28" s="468"/>
      <c r="K28" s="468"/>
      <c r="L28" s="468"/>
      <c r="M28" s="468"/>
      <c r="N28" s="468"/>
      <c r="O28" s="468"/>
      <c r="P28" s="468"/>
      <c r="Q28" s="339"/>
    </row>
  </sheetData>
  <sheetProtection selectLockedCells="1"/>
  <mergeCells count="34">
    <mergeCell ref="L6:M6"/>
    <mergeCell ref="B7:C7"/>
    <mergeCell ref="A28:P28"/>
    <mergeCell ref="A11:A25"/>
    <mergeCell ref="K14:L15"/>
    <mergeCell ref="B16:B17"/>
    <mergeCell ref="B11:C11"/>
    <mergeCell ref="K11:M11"/>
    <mergeCell ref="B12:B13"/>
    <mergeCell ref="K12:L13"/>
    <mergeCell ref="B14:B15"/>
    <mergeCell ref="K17:L22"/>
    <mergeCell ref="M17:P22"/>
    <mergeCell ref="B22:B23"/>
    <mergeCell ref="B24:B25"/>
    <mergeCell ref="A27:P27"/>
    <mergeCell ref="B18:B19"/>
    <mergeCell ref="B20:B21"/>
    <mergeCell ref="T1:W2"/>
    <mergeCell ref="L7:M7"/>
    <mergeCell ref="B8:C8"/>
    <mergeCell ref="K8:L8"/>
    <mergeCell ref="B9:C9"/>
    <mergeCell ref="A1:P1"/>
    <mergeCell ref="A4:A9"/>
    <mergeCell ref="B4:C4"/>
    <mergeCell ref="K4:K7"/>
    <mergeCell ref="L4:M4"/>
    <mergeCell ref="B5:C5"/>
    <mergeCell ref="L5:M5"/>
    <mergeCell ref="B6:C6"/>
    <mergeCell ref="V4:AM7"/>
    <mergeCell ref="A2:P2"/>
    <mergeCell ref="S1:S2"/>
  </mergeCells>
  <phoneticPr fontId="15" type="noConversion"/>
  <pageMargins left="0.51181102362204722" right="0.51181102362204722" top="0.35433070866141736" bottom="0.78740157480314965" header="0.31496062992125984" footer="0.31496062992125984"/>
  <pageSetup paperSize="9" scale="50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Plan8">
    <tabColor rgb="FF2A5664"/>
  </sheetPr>
  <dimension ref="A1:XFC51"/>
  <sheetViews>
    <sheetView showGridLines="0" topLeftCell="J42" zoomScale="70" zoomScaleNormal="70" workbookViewId="0">
      <selection activeCell="J7" sqref="J7"/>
    </sheetView>
  </sheetViews>
  <sheetFormatPr defaultColWidth="0" defaultRowHeight="26.25"/>
  <cols>
    <col min="1" max="1" width="16.5703125" style="121" customWidth="1"/>
    <col min="2" max="2" width="50.28515625" style="121" customWidth="1"/>
    <col min="3" max="3" width="16.85546875" style="121" customWidth="1"/>
    <col min="4" max="4" width="5.85546875" style="121" customWidth="1"/>
    <col min="5" max="10" width="15.28515625" style="121" customWidth="1"/>
    <col min="11" max="11" width="16.7109375" style="121" customWidth="1"/>
    <col min="12" max="13" width="15.28515625" style="121" customWidth="1"/>
    <col min="14" max="14" width="16" style="121" bestFit="1" customWidth="1"/>
    <col min="15" max="15" width="15.28515625" style="121" customWidth="1"/>
    <col min="16" max="16" width="16" style="121" bestFit="1" customWidth="1"/>
    <col min="17" max="17" width="11.85546875" style="121" customWidth="1"/>
    <col min="18" max="18" width="17.5703125" style="121" hidden="1"/>
    <col min="19" max="20" width="16.42578125" style="121" hidden="1"/>
    <col min="21" max="21" width="26.7109375" style="142" hidden="1"/>
    <col min="22" max="16383" width="16.42578125" style="142" hidden="1"/>
    <col min="16384" max="16384" width="0.140625" style="142" customWidth="1"/>
  </cols>
  <sheetData>
    <row r="1" spans="1:27" s="172" customFormat="1" hidden="1">
      <c r="A1" s="168" t="s">
        <v>439</v>
      </c>
      <c r="B1" s="168"/>
      <c r="C1" s="168"/>
      <c r="D1" s="168"/>
      <c r="E1" s="168"/>
      <c r="F1" s="168"/>
      <c r="G1" s="168"/>
      <c r="H1" s="168"/>
      <c r="I1" s="168"/>
      <c r="J1" s="168"/>
      <c r="K1" s="168"/>
      <c r="L1" s="168"/>
      <c r="M1" s="168"/>
      <c r="N1" s="168"/>
      <c r="O1" s="168"/>
      <c r="P1" s="168"/>
      <c r="Q1" s="168"/>
      <c r="R1" s="169"/>
      <c r="S1" s="169"/>
      <c r="T1" s="170"/>
      <c r="U1" s="171"/>
    </row>
    <row r="2" spans="1:27">
      <c r="A2" s="406" t="s">
        <v>14</v>
      </c>
      <c r="B2" s="406"/>
      <c r="C2" s="406"/>
      <c r="D2" s="406"/>
      <c r="E2" s="406"/>
      <c r="F2" s="406"/>
      <c r="G2" s="406"/>
      <c r="H2" s="406"/>
      <c r="I2" s="406"/>
      <c r="J2" s="406"/>
      <c r="K2" s="406"/>
      <c r="L2" s="406"/>
      <c r="M2" s="406"/>
      <c r="N2" s="406"/>
      <c r="O2" s="406"/>
      <c r="P2" s="406"/>
      <c r="Q2" s="406"/>
      <c r="T2" s="173"/>
    </row>
    <row r="3" spans="1:27" ht="23.25" customHeight="1">
      <c r="A3" s="482" t="s">
        <v>440</v>
      </c>
      <c r="B3" s="483"/>
      <c r="C3" s="483"/>
      <c r="D3" s="483"/>
      <c r="E3" s="443"/>
      <c r="F3" s="443"/>
      <c r="G3" s="443"/>
      <c r="H3" s="443"/>
      <c r="I3" s="443"/>
      <c r="J3" s="443"/>
      <c r="K3" s="443"/>
      <c r="L3" s="443"/>
      <c r="M3" s="443"/>
      <c r="N3" s="443"/>
      <c r="O3" s="443"/>
      <c r="P3" s="443"/>
      <c r="Q3" s="444"/>
      <c r="T3" s="173"/>
    </row>
    <row r="4" spans="1:27" ht="20.25" customHeight="1"/>
    <row r="5" spans="1:27" s="177" customFormat="1" ht="25.5" customHeight="1">
      <c r="A5" s="374" t="s">
        <v>176</v>
      </c>
      <c r="B5" s="374" t="s">
        <v>441</v>
      </c>
      <c r="C5" s="374" t="s">
        <v>442</v>
      </c>
      <c r="D5" s="174"/>
      <c r="E5" s="481" t="s">
        <v>443</v>
      </c>
      <c r="F5" s="481"/>
      <c r="G5" s="478" t="s">
        <v>444</v>
      </c>
      <c r="H5" s="486" t="s">
        <v>445</v>
      </c>
      <c r="I5" s="487"/>
      <c r="J5" s="487"/>
      <c r="K5" s="480" t="s">
        <v>446</v>
      </c>
      <c r="L5" s="480" t="s">
        <v>447</v>
      </c>
      <c r="M5" s="480" t="s">
        <v>448</v>
      </c>
      <c r="N5" s="480" t="s">
        <v>449</v>
      </c>
      <c r="O5" s="374" t="s">
        <v>450</v>
      </c>
      <c r="P5" s="481" t="s">
        <v>386</v>
      </c>
      <c r="Q5" s="481" t="s">
        <v>451</v>
      </c>
      <c r="R5" s="484"/>
      <c r="S5" s="175"/>
      <c r="T5" s="176"/>
    </row>
    <row r="6" spans="1:27" s="177" customFormat="1" ht="42" customHeight="1">
      <c r="A6" s="374"/>
      <c r="B6" s="374"/>
      <c r="C6" s="374"/>
      <c r="D6" s="174"/>
      <c r="E6" s="321" t="s">
        <v>452</v>
      </c>
      <c r="F6" s="321" t="s">
        <v>453</v>
      </c>
      <c r="G6" s="479"/>
      <c r="H6" s="321" t="s">
        <v>453</v>
      </c>
      <c r="I6" s="321" t="s">
        <v>454</v>
      </c>
      <c r="J6" s="321" t="s">
        <v>455</v>
      </c>
      <c r="K6" s="480"/>
      <c r="L6" s="480"/>
      <c r="M6" s="480"/>
      <c r="N6" s="480"/>
      <c r="O6" s="374"/>
      <c r="P6" s="481"/>
      <c r="Q6" s="481"/>
      <c r="R6" s="484"/>
      <c r="S6" s="224"/>
      <c r="T6" s="225" t="s">
        <v>456</v>
      </c>
      <c r="U6" s="225" t="s">
        <v>457</v>
      </c>
      <c r="V6" s="224"/>
      <c r="W6" s="224"/>
      <c r="X6" s="224"/>
      <c r="Y6" s="224"/>
      <c r="Z6" s="224"/>
      <c r="AA6" s="224"/>
    </row>
    <row r="7" spans="1:27" ht="47.25">
      <c r="A7" s="186" t="str">
        <f>'Quadro Geral'!A8</f>
        <v>Comissão de Ensino e Formação (CEF)</v>
      </c>
      <c r="B7" s="187" t="str">
        <f>'Quadro Geral'!C8</f>
        <v>Manter e Desenvolver as Atividades da Comissão de Ensino e Formação</v>
      </c>
      <c r="C7" s="188">
        <f>'Quadro Geral'!I8</f>
        <v>68480</v>
      </c>
      <c r="D7" s="174"/>
      <c r="E7" s="178"/>
      <c r="F7" s="178"/>
      <c r="G7" s="178"/>
      <c r="H7" s="178">
        <v>30240</v>
      </c>
      <c r="I7" s="178">
        <v>30240</v>
      </c>
      <c r="J7" s="178"/>
      <c r="K7" s="178">
        <v>8000</v>
      </c>
      <c r="L7" s="178"/>
      <c r="M7" s="178"/>
      <c r="N7" s="192">
        <f t="shared" ref="N7:N41" si="0">SUM(E7:M7)</f>
        <v>68480</v>
      </c>
      <c r="O7" s="178"/>
      <c r="P7" s="192">
        <f>N7+O7</f>
        <v>68480</v>
      </c>
      <c r="Q7" s="193">
        <f t="shared" ref="Q7:Q46" si="1">IFERROR(P7/$P$47*100,0)</f>
        <v>0.56843396416310721</v>
      </c>
      <c r="R7" s="3" t="b">
        <f t="shared" ref="R7:R41" si="2">C7=P7</f>
        <v>1</v>
      </c>
      <c r="S7" s="179"/>
      <c r="T7" s="121" t="str">
        <f>'Quadro Geral'!B8</f>
        <v>A</v>
      </c>
      <c r="U7" s="121" t="str">
        <f>'Quadro Geral'!E8</f>
        <v>Influenciar as diretrizes do ensino de Arquitetura e Urbanismo e sua formação continuada</v>
      </c>
    </row>
    <row r="8" spans="1:27" ht="47.25">
      <c r="A8" s="186" t="str">
        <f>'Quadro Geral'!A9</f>
        <v>Comissão de Ética e Disciplina (CED)</v>
      </c>
      <c r="B8" s="187" t="str">
        <f>'Quadro Geral'!C9</f>
        <v>Manter e Desenvolver as Atividades da Comissão de Ética e Disciplina</v>
      </c>
      <c r="C8" s="188">
        <f>'Quadro Geral'!I9</f>
        <v>109401.28</v>
      </c>
      <c r="D8" s="174"/>
      <c r="E8" s="178"/>
      <c r="F8" s="178"/>
      <c r="G8" s="178"/>
      <c r="H8" s="178">
        <v>49700.639999999999</v>
      </c>
      <c r="I8" s="178">
        <v>49700.639999999999</v>
      </c>
      <c r="J8" s="178">
        <v>10000</v>
      </c>
      <c r="K8" s="178"/>
      <c r="L8" s="178"/>
      <c r="M8" s="178"/>
      <c r="N8" s="192">
        <f t="shared" si="0"/>
        <v>109401.28</v>
      </c>
      <c r="O8" s="178"/>
      <c r="P8" s="192">
        <f t="shared" ref="P8:P24" si="3">N8+O8</f>
        <v>109401.28</v>
      </c>
      <c r="Q8" s="193">
        <f t="shared" si="1"/>
        <v>0.90811044501924731</v>
      </c>
      <c r="R8" s="3" t="b">
        <f t="shared" si="2"/>
        <v>1</v>
      </c>
      <c r="S8" s="179"/>
      <c r="T8" s="121" t="str">
        <f>'Quadro Geral'!B9</f>
        <v>A</v>
      </c>
      <c r="U8" s="121" t="str">
        <f>'Quadro Geral'!E9</f>
        <v>Promover o exercício ético e qualificado da profissão</v>
      </c>
    </row>
    <row r="9" spans="1:27" ht="63">
      <c r="A9" s="186" t="str">
        <f>'Quadro Geral'!A10</f>
        <v>Comissão de Exercício Profissional (CEP)</v>
      </c>
      <c r="B9" s="187" t="str">
        <f>'Quadro Geral'!C10</f>
        <v>Manter e Desenvolver as Atividades da Comissão de Exercício Profissional</v>
      </c>
      <c r="C9" s="188">
        <f>'Quadro Geral'!I10</f>
        <v>143424.64000000001</v>
      </c>
      <c r="D9" s="174"/>
      <c r="E9" s="178"/>
      <c r="F9" s="178"/>
      <c r="G9" s="178"/>
      <c r="H9" s="178">
        <v>57712.320000000007</v>
      </c>
      <c r="I9" s="178">
        <v>57712.320000000007</v>
      </c>
      <c r="J9" s="178">
        <v>28000</v>
      </c>
      <c r="K9" s="178"/>
      <c r="L9" s="178"/>
      <c r="M9" s="178"/>
      <c r="N9" s="192">
        <f t="shared" si="0"/>
        <v>143424.64000000001</v>
      </c>
      <c r="O9" s="178"/>
      <c r="P9" s="192">
        <f t="shared" si="3"/>
        <v>143424.64000000001</v>
      </c>
      <c r="Q9" s="193">
        <f t="shared" si="1"/>
        <v>1.1905291570366028</v>
      </c>
      <c r="R9" s="3" t="b">
        <f t="shared" si="2"/>
        <v>1</v>
      </c>
      <c r="S9" s="179"/>
      <c r="T9" s="121" t="str">
        <f>'Quadro Geral'!B10</f>
        <v>A</v>
      </c>
      <c r="U9" s="121" t="str">
        <f>'Quadro Geral'!E10</f>
        <v>Tornar a fiscalização um vetor de melhoria do exercício da Arquitetura e Urbanismo</v>
      </c>
    </row>
    <row r="10" spans="1:27" ht="47.25">
      <c r="A10" s="186" t="str">
        <f>'Quadro Geral'!A11</f>
        <v>Comissão de Planejamento e Finanças (CPFi)</v>
      </c>
      <c r="B10" s="187" t="str">
        <f>'Quadro Geral'!C11</f>
        <v>Manter e Desenvolver as Atividades da Comissão de Planejamento e Finanças</v>
      </c>
      <c r="C10" s="188">
        <f>'Quadro Geral'!I11</f>
        <v>67020</v>
      </c>
      <c r="D10" s="174"/>
      <c r="E10" s="178"/>
      <c r="F10" s="178"/>
      <c r="G10" s="178"/>
      <c r="H10" s="178">
        <v>33510</v>
      </c>
      <c r="I10" s="178">
        <v>33510</v>
      </c>
      <c r="J10" s="178"/>
      <c r="K10" s="178"/>
      <c r="L10" s="178"/>
      <c r="M10" s="178"/>
      <c r="N10" s="192">
        <f t="shared" si="0"/>
        <v>67020</v>
      </c>
      <c r="O10" s="178"/>
      <c r="P10" s="192">
        <f t="shared" si="3"/>
        <v>67020</v>
      </c>
      <c r="Q10" s="193">
        <f t="shared" si="1"/>
        <v>0.55631489892248021</v>
      </c>
      <c r="R10" s="3" t="b">
        <f t="shared" si="2"/>
        <v>1</v>
      </c>
      <c r="S10" s="179"/>
      <c r="T10" s="121" t="str">
        <f>'Quadro Geral'!B11</f>
        <v>A</v>
      </c>
      <c r="U10" s="121" t="str">
        <f>'Quadro Geral'!E11</f>
        <v>Assegurar a sustentabilidade financeira</v>
      </c>
    </row>
    <row r="11" spans="1:27" ht="63">
      <c r="A11" s="186" t="str">
        <f>'Quadro Geral'!A12</f>
        <v>Comissão de Organização e Administração (COA)</v>
      </c>
      <c r="B11" s="187" t="str">
        <f>'Quadro Geral'!C12</f>
        <v>Manter e Desenvolver as Atividades da Comissão de Organização e Administração</v>
      </c>
      <c r="C11" s="188">
        <f>'Quadro Geral'!I12</f>
        <v>110860</v>
      </c>
      <c r="D11" s="174"/>
      <c r="E11" s="178"/>
      <c r="F11" s="178"/>
      <c r="G11" s="178"/>
      <c r="H11" s="178">
        <v>42930</v>
      </c>
      <c r="I11" s="178">
        <v>42930</v>
      </c>
      <c r="J11" s="178">
        <v>25000</v>
      </c>
      <c r="K11" s="178"/>
      <c r="L11" s="178"/>
      <c r="M11" s="178"/>
      <c r="N11" s="192">
        <f t="shared" si="0"/>
        <v>110860</v>
      </c>
      <c r="O11" s="178"/>
      <c r="P11" s="192">
        <f t="shared" si="3"/>
        <v>110860</v>
      </c>
      <c r="Q11" s="193">
        <f t="shared" si="1"/>
        <v>0.92021888532596474</v>
      </c>
      <c r="R11" s="3" t="b">
        <f t="shared" si="2"/>
        <v>1</v>
      </c>
      <c r="S11" s="179"/>
      <c r="T11" s="121" t="str">
        <f>'Quadro Geral'!B12</f>
        <v>A</v>
      </c>
      <c r="U11" s="121" t="str">
        <f>'Quadro Geral'!E12</f>
        <v>Aprimorar e inovar os processos e as ações</v>
      </c>
    </row>
    <row r="12" spans="1:27" ht="78.75">
      <c r="A12" s="186" t="str">
        <f>'Quadro Geral'!A13</f>
        <v>Comissão Especial de Política Urbana e Ambiental (CPUA)</v>
      </c>
      <c r="B12" s="187" t="str">
        <f>'Quadro Geral'!C13</f>
        <v>Manter e Desenvolver as Atividades da Comissão Especial de Política Urbana e Ambiental</v>
      </c>
      <c r="C12" s="188">
        <f>'Quadro Geral'!I13</f>
        <v>68400</v>
      </c>
      <c r="D12" s="174"/>
      <c r="E12" s="178"/>
      <c r="F12" s="178"/>
      <c r="G12" s="178"/>
      <c r="H12" s="178">
        <v>31950</v>
      </c>
      <c r="I12" s="178">
        <v>31950</v>
      </c>
      <c r="J12" s="178">
        <v>4500</v>
      </c>
      <c r="K12" s="178"/>
      <c r="L12" s="178"/>
      <c r="M12" s="178"/>
      <c r="N12" s="192">
        <f t="shared" si="0"/>
        <v>68400</v>
      </c>
      <c r="O12" s="178"/>
      <c r="P12" s="192">
        <f t="shared" si="3"/>
        <v>68400</v>
      </c>
      <c r="Q12" s="193">
        <f t="shared" si="1"/>
        <v>0.56776990579375775</v>
      </c>
      <c r="R12" s="3" t="b">
        <f t="shared" si="2"/>
        <v>1</v>
      </c>
      <c r="S12" s="179"/>
      <c r="T12" s="121" t="str">
        <f>'Quadro Geral'!B13</f>
        <v>A</v>
      </c>
      <c r="U12" s="121" t="str">
        <f>'Quadro Geral'!E13</f>
        <v>Garantir a participação dos Arquitetos e Urbanistas no planejamento territorial e na gestão urbana</v>
      </c>
    </row>
    <row r="13" spans="1:27" ht="110.25">
      <c r="A13" s="186" t="str">
        <f>'Quadro Geral'!A14</f>
        <v>Comissão Especial de Assistência Técnica para Habitação de Interesse Social (Cathis)</v>
      </c>
      <c r="B13" s="187" t="str">
        <f>'Quadro Geral'!C14</f>
        <v>Manter e Desenvolver as Atividades da Comissão Especial de Assistência Técnica para Habitação de Interesse Social</v>
      </c>
      <c r="C13" s="188">
        <f>'Quadro Geral'!I14</f>
        <v>54830</v>
      </c>
      <c r="D13" s="174"/>
      <c r="E13" s="178"/>
      <c r="F13" s="178"/>
      <c r="G13" s="178"/>
      <c r="H13" s="178">
        <v>17415</v>
      </c>
      <c r="I13" s="178">
        <v>17415</v>
      </c>
      <c r="J13" s="178">
        <v>20000</v>
      </c>
      <c r="K13" s="178"/>
      <c r="L13" s="178"/>
      <c r="M13" s="178"/>
      <c r="N13" s="192">
        <f t="shared" si="0"/>
        <v>54830</v>
      </c>
      <c r="O13" s="178"/>
      <c r="P13" s="192">
        <f t="shared" si="3"/>
        <v>54830</v>
      </c>
      <c r="Q13" s="193">
        <f t="shared" si="1"/>
        <v>0.45512900489286168</v>
      </c>
      <c r="R13" s="3" t="b">
        <f t="shared" si="2"/>
        <v>1</v>
      </c>
      <c r="S13" s="179"/>
      <c r="T13" s="121" t="str">
        <f>'Quadro Geral'!B14</f>
        <v>A</v>
      </c>
      <c r="U13" s="121" t="str">
        <f>'Quadro Geral'!E14</f>
        <v>Fomentar o acesso da sociedade à Arquitetura e Urbanismo</v>
      </c>
    </row>
    <row r="14" spans="1:27" ht="63">
      <c r="A14" s="186" t="str">
        <f>'Quadro Geral'!A15</f>
        <v>Comissão Especial de Patrimônio Cultural (CPC)</v>
      </c>
      <c r="B14" s="187" t="str">
        <f>'Quadro Geral'!C15</f>
        <v>Manter e Desenvolver as Atividades da Comissão Especial de Patrimônio Cultural</v>
      </c>
      <c r="C14" s="188">
        <f>'Quadro Geral'!I15</f>
        <v>73643</v>
      </c>
      <c r="D14" s="174"/>
      <c r="E14" s="178"/>
      <c r="F14" s="178"/>
      <c r="G14" s="178"/>
      <c r="H14" s="178">
        <v>34321.5</v>
      </c>
      <c r="I14" s="178">
        <v>34321.5</v>
      </c>
      <c r="J14" s="178">
        <v>5000</v>
      </c>
      <c r="K14" s="178"/>
      <c r="L14" s="178"/>
      <c r="M14" s="178"/>
      <c r="N14" s="192">
        <f t="shared" si="0"/>
        <v>73643</v>
      </c>
      <c r="O14" s="178"/>
      <c r="P14" s="192">
        <f t="shared" si="3"/>
        <v>73643</v>
      </c>
      <c r="Q14" s="193">
        <f t="shared" si="1"/>
        <v>0.61129063117499571</v>
      </c>
      <c r="R14" s="3" t="b">
        <f t="shared" si="2"/>
        <v>1</v>
      </c>
      <c r="S14" s="179"/>
      <c r="T14" s="121" t="str">
        <f>'Quadro Geral'!B15</f>
        <v>A</v>
      </c>
      <c r="U14" s="121" t="str">
        <f>'Quadro Geral'!E15</f>
        <v>Estimular a produção da Arquitetura e Urbanismo como política de Estado</v>
      </c>
    </row>
    <row r="15" spans="1:27" ht="31.5">
      <c r="A15" s="186" t="str">
        <f>'Quadro Geral'!A16</f>
        <v>Presidência</v>
      </c>
      <c r="B15" s="187" t="str">
        <f>'Quadro Geral'!C16</f>
        <v>Manter e Desenvolver as Atividades da Presidência e dos Conselheiros Federais</v>
      </c>
      <c r="C15" s="188">
        <f>'Quadro Geral'!I16</f>
        <v>80000</v>
      </c>
      <c r="D15" s="174"/>
      <c r="E15" s="178"/>
      <c r="F15" s="178"/>
      <c r="G15" s="178"/>
      <c r="H15" s="178">
        <v>40000</v>
      </c>
      <c r="I15" s="178">
        <v>40000</v>
      </c>
      <c r="J15" s="178"/>
      <c r="K15" s="178"/>
      <c r="L15" s="178"/>
      <c r="M15" s="178"/>
      <c r="N15" s="192">
        <f t="shared" si="0"/>
        <v>80000</v>
      </c>
      <c r="O15" s="178"/>
      <c r="P15" s="192">
        <f t="shared" si="3"/>
        <v>80000</v>
      </c>
      <c r="Q15" s="193">
        <f t="shared" si="1"/>
        <v>0.6640583693494243</v>
      </c>
      <c r="R15" s="3" t="b">
        <f t="shared" si="2"/>
        <v>1</v>
      </c>
      <c r="S15" s="179"/>
      <c r="T15" s="121" t="str">
        <f>'Quadro Geral'!B16</f>
        <v>A</v>
      </c>
      <c r="U15" s="121" t="str">
        <f>'Quadro Geral'!E16</f>
        <v>Construir cultura organizacional adequada à estratégia</v>
      </c>
    </row>
    <row r="16" spans="1:27" ht="31.5">
      <c r="A16" s="186" t="str">
        <f>'Quadro Geral'!A17</f>
        <v>Presidência</v>
      </c>
      <c r="B16" s="187" t="str">
        <f>'Quadro Geral'!C17</f>
        <v>Manter e Desenvolver as Atividades de Comissões Temporárias</v>
      </c>
      <c r="C16" s="188">
        <f>'Quadro Geral'!I17</f>
        <v>38124</v>
      </c>
      <c r="D16" s="174"/>
      <c r="E16" s="178"/>
      <c r="F16" s="178"/>
      <c r="G16" s="178"/>
      <c r="H16" s="178">
        <v>19062</v>
      </c>
      <c r="I16" s="178">
        <v>19062</v>
      </c>
      <c r="J16" s="178"/>
      <c r="K16" s="178"/>
      <c r="L16" s="178"/>
      <c r="M16" s="178"/>
      <c r="N16" s="192">
        <f t="shared" si="0"/>
        <v>38124</v>
      </c>
      <c r="O16" s="178"/>
      <c r="P16" s="192">
        <f t="shared" si="3"/>
        <v>38124</v>
      </c>
      <c r="Q16" s="193">
        <f t="shared" si="1"/>
        <v>0.3164570159134682</v>
      </c>
      <c r="R16" s="3" t="b">
        <f t="shared" si="2"/>
        <v>1</v>
      </c>
      <c r="S16" s="179"/>
      <c r="T16" s="121" t="str">
        <f>'Quadro Geral'!B17</f>
        <v>A</v>
      </c>
      <c r="U16" s="121" t="str">
        <f>'Quadro Geral'!E17</f>
        <v>Aprimorar e inovar os processos e as ações</v>
      </c>
    </row>
    <row r="17" spans="1:21">
      <c r="A17" s="186" t="str">
        <f>'Quadro Geral'!A18</f>
        <v>Presidência</v>
      </c>
      <c r="B17" s="187" t="str">
        <f>'Quadro Geral'!C18</f>
        <v>Edital de Patrocínio modalidade Patrimônio Cultural</v>
      </c>
      <c r="C17" s="188">
        <f>'Quadro Geral'!I18</f>
        <v>150000</v>
      </c>
      <c r="D17" s="174"/>
      <c r="E17" s="178"/>
      <c r="F17" s="178"/>
      <c r="G17" s="178"/>
      <c r="H17" s="178"/>
      <c r="I17" s="178"/>
      <c r="J17" s="178"/>
      <c r="K17" s="178">
        <v>150000</v>
      </c>
      <c r="L17" s="178"/>
      <c r="M17" s="178"/>
      <c r="N17" s="192">
        <f t="shared" si="0"/>
        <v>150000</v>
      </c>
      <c r="O17" s="178"/>
      <c r="P17" s="192">
        <f t="shared" si="3"/>
        <v>150000</v>
      </c>
      <c r="Q17" s="193">
        <f t="shared" si="1"/>
        <v>1.2451094425301705</v>
      </c>
      <c r="R17" s="3" t="b">
        <f t="shared" si="2"/>
        <v>1</v>
      </c>
      <c r="S17" s="179"/>
      <c r="T17" s="121" t="str">
        <f>'Quadro Geral'!B18</f>
        <v>P</v>
      </c>
      <c r="U17" s="121" t="str">
        <f>'Quadro Geral'!E18</f>
        <v>Estimular o conhecimento, o uso de processos criativos e a difusão das melhores práticas em Arquitetura e Urbanismo</v>
      </c>
    </row>
    <row r="18" spans="1:21">
      <c r="A18" s="186" t="str">
        <f>'Quadro Geral'!A19</f>
        <v>Presidência</v>
      </c>
      <c r="B18" s="187" t="str">
        <f>'Quadro Geral'!C19</f>
        <v>Edital de Patrocínio Modalidade Política Urbana</v>
      </c>
      <c r="C18" s="188">
        <f>'Quadro Geral'!I19</f>
        <v>150000</v>
      </c>
      <c r="D18" s="174"/>
      <c r="E18" s="178"/>
      <c r="F18" s="178"/>
      <c r="G18" s="178"/>
      <c r="H18" s="178"/>
      <c r="I18" s="178"/>
      <c r="J18" s="178"/>
      <c r="K18" s="178">
        <v>150000</v>
      </c>
      <c r="L18" s="178"/>
      <c r="M18" s="178"/>
      <c r="N18" s="192">
        <f t="shared" si="0"/>
        <v>150000</v>
      </c>
      <c r="O18" s="178"/>
      <c r="P18" s="192">
        <f t="shared" si="3"/>
        <v>150000</v>
      </c>
      <c r="Q18" s="193">
        <f t="shared" si="1"/>
        <v>1.2451094425301705</v>
      </c>
      <c r="R18" s="3" t="b">
        <f t="shared" si="2"/>
        <v>1</v>
      </c>
      <c r="S18" s="179"/>
      <c r="T18" s="121" t="str">
        <f>'Quadro Geral'!B19</f>
        <v>P</v>
      </c>
      <c r="U18" s="121" t="str">
        <f>'Quadro Geral'!E19</f>
        <v>Estimular o conhecimento, o uso de processos criativos e a difusão das melhores práticas em Arquitetura e Urbanismo</v>
      </c>
    </row>
    <row r="19" spans="1:21">
      <c r="A19" s="186" t="str">
        <f>'Quadro Geral'!A20</f>
        <v>Presidência</v>
      </c>
      <c r="B19" s="187" t="str">
        <f>'Quadro Geral'!C20</f>
        <v>Edital de Apoio Institucional</v>
      </c>
      <c r="C19" s="188">
        <f>'Quadro Geral'!I20</f>
        <v>22800</v>
      </c>
      <c r="D19" s="174"/>
      <c r="E19" s="178"/>
      <c r="F19" s="178"/>
      <c r="G19" s="178"/>
      <c r="H19" s="178"/>
      <c r="I19" s="178"/>
      <c r="J19" s="178"/>
      <c r="K19" s="178">
        <v>22800</v>
      </c>
      <c r="L19" s="178"/>
      <c r="M19" s="178"/>
      <c r="N19" s="192">
        <f t="shared" si="0"/>
        <v>22800</v>
      </c>
      <c r="O19" s="178"/>
      <c r="P19" s="192">
        <f t="shared" si="3"/>
        <v>22800</v>
      </c>
      <c r="Q19" s="193">
        <f t="shared" si="1"/>
        <v>0.18925663526458594</v>
      </c>
      <c r="R19" s="3" t="b">
        <f t="shared" si="2"/>
        <v>1</v>
      </c>
      <c r="S19" s="179"/>
      <c r="T19" s="121" t="str">
        <f>'Quadro Geral'!B20</f>
        <v>P</v>
      </c>
      <c r="U19" s="121" t="str">
        <f>'Quadro Geral'!E20</f>
        <v>Estimular o conhecimento, o uso de processos criativos e a difusão das melhores práticas em Arquitetura e Urbanismo</v>
      </c>
    </row>
    <row r="20" spans="1:21" ht="31.5">
      <c r="A20" s="186" t="str">
        <f>'Quadro Geral'!A21</f>
        <v>Presidência</v>
      </c>
      <c r="B20" s="187" t="str">
        <f>'Quadro Geral'!C21</f>
        <v>Assistência Técnica para Habitação de Interesse Social (ATHIS)</v>
      </c>
      <c r="C20" s="188">
        <f>'Quadro Geral'!I21</f>
        <v>300000</v>
      </c>
      <c r="D20" s="174"/>
      <c r="E20" s="178"/>
      <c r="F20" s="178"/>
      <c r="G20" s="178"/>
      <c r="H20" s="178"/>
      <c r="I20" s="178"/>
      <c r="J20" s="178"/>
      <c r="K20" s="178">
        <v>300000</v>
      </c>
      <c r="L20" s="178"/>
      <c r="M20" s="178"/>
      <c r="N20" s="192">
        <f t="shared" si="0"/>
        <v>300000</v>
      </c>
      <c r="O20" s="178"/>
      <c r="P20" s="192">
        <f t="shared" si="3"/>
        <v>300000</v>
      </c>
      <c r="Q20" s="193">
        <f t="shared" si="1"/>
        <v>2.4902188850603411</v>
      </c>
      <c r="R20" s="3" t="b">
        <f t="shared" si="2"/>
        <v>1</v>
      </c>
      <c r="S20" s="179"/>
      <c r="T20" s="121" t="str">
        <f>'Quadro Geral'!B21</f>
        <v>P</v>
      </c>
      <c r="U20" s="121" t="str">
        <f>'Quadro Geral'!E21</f>
        <v>Fomentar o acesso da sociedade à Arquitetura e Urbanismo</v>
      </c>
    </row>
    <row r="21" spans="1:21">
      <c r="A21" s="186" t="str">
        <f>'Quadro Geral'!A22</f>
        <v>Presidência</v>
      </c>
      <c r="B21" s="187" t="str">
        <f>'Quadro Geral'!C22</f>
        <v>Representação Institucional do CAU/MG II</v>
      </c>
      <c r="C21" s="188">
        <f>'Quadro Geral'!I22</f>
        <v>40000</v>
      </c>
      <c r="D21" s="174"/>
      <c r="E21" s="178"/>
      <c r="F21" s="178"/>
      <c r="G21" s="178"/>
      <c r="H21" s="178">
        <v>20000</v>
      </c>
      <c r="I21" s="178">
        <v>20000</v>
      </c>
      <c r="J21" s="178"/>
      <c r="K21" s="178"/>
      <c r="L21" s="178"/>
      <c r="M21" s="178"/>
      <c r="N21" s="192">
        <f t="shared" si="0"/>
        <v>40000</v>
      </c>
      <c r="O21" s="178"/>
      <c r="P21" s="192">
        <f t="shared" si="3"/>
        <v>40000</v>
      </c>
      <c r="Q21" s="193">
        <f t="shared" si="1"/>
        <v>0.33202918467471215</v>
      </c>
      <c r="R21" s="3" t="b">
        <f t="shared" si="2"/>
        <v>1</v>
      </c>
      <c r="S21" s="179"/>
      <c r="T21" s="121" t="str">
        <f>'Quadro Geral'!B22</f>
        <v>P</v>
      </c>
      <c r="U21" s="121" t="str">
        <f>'Quadro Geral'!E22</f>
        <v>Estimular a produção da Arquitetura e Urbanismo como política de Estado</v>
      </c>
    </row>
    <row r="22" spans="1:21">
      <c r="A22" s="186" t="str">
        <f>'Quadro Geral'!A23</f>
        <v>Presidência</v>
      </c>
      <c r="B22" s="187" t="str">
        <f>'Quadro Geral'!C23</f>
        <v>Representação Institucional do CAU/MG I</v>
      </c>
      <c r="C22" s="188">
        <f>'Quadro Geral'!I23</f>
        <v>20000</v>
      </c>
      <c r="D22" s="174"/>
      <c r="E22" s="178"/>
      <c r="F22" s="178"/>
      <c r="G22" s="178"/>
      <c r="H22" s="178">
        <v>10000</v>
      </c>
      <c r="I22" s="178">
        <v>10000</v>
      </c>
      <c r="J22" s="178"/>
      <c r="K22" s="178"/>
      <c r="L22" s="178"/>
      <c r="M22" s="178"/>
      <c r="N22" s="192">
        <f t="shared" si="0"/>
        <v>20000</v>
      </c>
      <c r="O22" s="178"/>
      <c r="P22" s="192">
        <f t="shared" si="3"/>
        <v>20000</v>
      </c>
      <c r="Q22" s="193">
        <f t="shared" si="1"/>
        <v>0.16601459233735608</v>
      </c>
      <c r="R22" s="3" t="b">
        <f t="shared" si="2"/>
        <v>1</v>
      </c>
      <c r="S22" s="179"/>
      <c r="T22" s="121" t="str">
        <f>'Quadro Geral'!B23</f>
        <v>P</v>
      </c>
      <c r="U22" s="121" t="str">
        <f>'Quadro Geral'!E23</f>
        <v>Promover o exercício ético e qualificado da profissão</v>
      </c>
    </row>
    <row r="23" spans="1:21">
      <c r="A23" s="186" t="str">
        <f>'Quadro Geral'!A24</f>
        <v>Presidência</v>
      </c>
      <c r="B23" s="187" t="str">
        <f>'Quadro Geral'!C24</f>
        <v>Capacitações</v>
      </c>
      <c r="C23" s="188">
        <f>'Quadro Geral'!I24</f>
        <v>80000</v>
      </c>
      <c r="D23" s="174"/>
      <c r="E23" s="178"/>
      <c r="F23" s="178">
        <v>10000</v>
      </c>
      <c r="G23" s="178"/>
      <c r="H23" s="178"/>
      <c r="I23" s="178">
        <v>10000</v>
      </c>
      <c r="J23" s="178">
        <v>60000</v>
      </c>
      <c r="K23" s="178"/>
      <c r="L23" s="178"/>
      <c r="M23" s="178"/>
      <c r="N23" s="192">
        <f t="shared" si="0"/>
        <v>80000</v>
      </c>
      <c r="O23" s="178"/>
      <c r="P23" s="192">
        <f t="shared" si="3"/>
        <v>80000</v>
      </c>
      <c r="Q23" s="193">
        <f t="shared" si="1"/>
        <v>0.6640583693494243</v>
      </c>
      <c r="R23" s="3" t="b">
        <f t="shared" si="2"/>
        <v>1</v>
      </c>
      <c r="S23" s="179"/>
      <c r="T23" s="121" t="str">
        <f>'Quadro Geral'!B24</f>
        <v>A</v>
      </c>
      <c r="U23" s="121" t="str">
        <f>'Quadro Geral'!E24</f>
        <v>Desenvolver competências de dirigentes e colaboradores</v>
      </c>
    </row>
    <row r="24" spans="1:21">
      <c r="A24" s="186" t="str">
        <f>'Quadro Geral'!A25</f>
        <v>Presidência</v>
      </c>
      <c r="B24" s="187" t="str">
        <f>'Quadro Geral'!C25</f>
        <v>Manter e Desenvolver as Atividades da Ouvidoria</v>
      </c>
      <c r="C24" s="188">
        <f>'Quadro Geral'!I25</f>
        <v>78357.917643001245</v>
      </c>
      <c r="D24" s="174"/>
      <c r="E24" s="178">
        <v>73357.917643001245</v>
      </c>
      <c r="F24" s="178">
        <v>2000</v>
      </c>
      <c r="G24" s="178"/>
      <c r="H24" s="178"/>
      <c r="I24" s="178">
        <v>2000</v>
      </c>
      <c r="J24" s="178">
        <v>1000</v>
      </c>
      <c r="K24" s="178"/>
      <c r="L24" s="178"/>
      <c r="M24" s="178"/>
      <c r="N24" s="192">
        <f t="shared" si="0"/>
        <v>78357.917643001245</v>
      </c>
      <c r="O24" s="178"/>
      <c r="P24" s="192">
        <f t="shared" si="3"/>
        <v>78357.917643001245</v>
      </c>
      <c r="Q24" s="193">
        <f t="shared" si="1"/>
        <v>0.65042788769534865</v>
      </c>
      <c r="R24" s="3" t="b">
        <f t="shared" si="2"/>
        <v>1</v>
      </c>
      <c r="S24" s="179"/>
      <c r="T24" s="121" t="str">
        <f>'Quadro Geral'!B25</f>
        <v>A</v>
      </c>
      <c r="U24" s="121" t="str">
        <f>'Quadro Geral'!E25</f>
        <v>Assegurar a eficácia no atendimento e no relacionamento com os Arquitetos e Urbanistas e a Sociedade</v>
      </c>
    </row>
    <row r="25" spans="1:21" ht="47.25">
      <c r="A25" s="186" t="str">
        <f>'Quadro Geral'!A26</f>
        <v>Assessoria de Comunicação (Ascom)</v>
      </c>
      <c r="B25" s="187" t="str">
        <f>'Quadro Geral'!C26</f>
        <v xml:space="preserve"> Manter e Desenvolver as Atividades da Assessoria de Comunicação</v>
      </c>
      <c r="C25" s="188">
        <f>'Quadro Geral'!I26</f>
        <v>429409.08843633335</v>
      </c>
      <c r="D25" s="174"/>
      <c r="E25" s="178">
        <v>138075.755103</v>
      </c>
      <c r="F25" s="178">
        <v>2500</v>
      </c>
      <c r="G25" s="178"/>
      <c r="H25" s="178"/>
      <c r="I25" s="178">
        <v>2500</v>
      </c>
      <c r="J25" s="178">
        <v>286333.33333333337</v>
      </c>
      <c r="K25" s="178"/>
      <c r="L25" s="178"/>
      <c r="M25" s="178"/>
      <c r="N25" s="192">
        <f t="shared" si="0"/>
        <v>429409.08843633335</v>
      </c>
      <c r="O25" s="178"/>
      <c r="P25" s="192">
        <f t="shared" ref="P25:P41" si="4">N25+O25</f>
        <v>429409.08843633335</v>
      </c>
      <c r="Q25" s="193">
        <f t="shared" si="1"/>
        <v>3.5644087381356786</v>
      </c>
      <c r="R25" s="3" t="b">
        <f t="shared" si="2"/>
        <v>1</v>
      </c>
      <c r="S25" s="179"/>
      <c r="T25" s="121" t="str">
        <f>'Quadro Geral'!B26</f>
        <v>A</v>
      </c>
      <c r="U25" s="121" t="str">
        <f>'Quadro Geral'!E26</f>
        <v>Assegurar a eficácia no relacionamento e comunicação com a sociedade</v>
      </c>
    </row>
    <row r="26" spans="1:21" ht="31.5">
      <c r="A26" s="186" t="str">
        <f>'Quadro Geral'!A27</f>
        <v>Gerência Geral (Gergel)</v>
      </c>
      <c r="B26" s="187" t="str">
        <f>'Quadro Geral'!C27</f>
        <v xml:space="preserve">Manter e Desenvolver as Atividades da Assessoria de Eventos </v>
      </c>
      <c r="C26" s="188">
        <f>'Quadro Geral'!I27</f>
        <v>178108.346303</v>
      </c>
      <c r="D26" s="174"/>
      <c r="E26" s="178">
        <v>143108.346303</v>
      </c>
      <c r="F26" s="178">
        <v>3000</v>
      </c>
      <c r="G26" s="178">
        <v>15000</v>
      </c>
      <c r="H26" s="178">
        <v>6000</v>
      </c>
      <c r="I26" s="178">
        <v>3000</v>
      </c>
      <c r="J26" s="178">
        <v>8000</v>
      </c>
      <c r="K26" s="178"/>
      <c r="L26" s="178"/>
      <c r="M26" s="178"/>
      <c r="N26" s="192">
        <f t="shared" si="0"/>
        <v>178108.346303</v>
      </c>
      <c r="O26" s="178"/>
      <c r="P26" s="192">
        <f t="shared" si="4"/>
        <v>178108.346303</v>
      </c>
      <c r="Q26" s="193">
        <f t="shared" si="1"/>
        <v>1.4784292251686593</v>
      </c>
      <c r="R26" s="3" t="b">
        <f t="shared" si="2"/>
        <v>1</v>
      </c>
      <c r="S26" s="179"/>
      <c r="T26" s="121" t="str">
        <f>'Quadro Geral'!B27</f>
        <v>A</v>
      </c>
      <c r="U26" s="121" t="str">
        <f>'Quadro Geral'!E27</f>
        <v>Estimular o conhecimento, o uso de processos criativos e a difusão das melhores práticas em Arquitetura e Urbanismo</v>
      </c>
    </row>
    <row r="27" spans="1:21" ht="31.5">
      <c r="A27" s="186" t="str">
        <f>'Quadro Geral'!A28</f>
        <v>Gerência Geral (Gergel)</v>
      </c>
      <c r="B27" s="187" t="str">
        <f>'Quadro Geral'!C28</f>
        <v xml:space="preserve"> Manter e Desenvolver as Atividades da Gerência Geral</v>
      </c>
      <c r="C27" s="188">
        <f>'Quadro Geral'!I28</f>
        <v>429487.50564802642</v>
      </c>
      <c r="D27" s="174"/>
      <c r="E27" s="178">
        <v>419487.50564802642</v>
      </c>
      <c r="F27" s="178">
        <v>5000</v>
      </c>
      <c r="G27" s="178"/>
      <c r="H27" s="178"/>
      <c r="I27" s="178">
        <v>5000</v>
      </c>
      <c r="J27" s="178"/>
      <c r="K27" s="178"/>
      <c r="L27" s="178"/>
      <c r="M27" s="178"/>
      <c r="N27" s="192">
        <f t="shared" si="0"/>
        <v>429487.50564802642</v>
      </c>
      <c r="O27" s="178"/>
      <c r="P27" s="192">
        <f t="shared" si="4"/>
        <v>429487.50564802642</v>
      </c>
      <c r="Q27" s="193">
        <f t="shared" si="1"/>
        <v>3.5650596582072507</v>
      </c>
      <c r="R27" s="3" t="b">
        <f t="shared" si="2"/>
        <v>1</v>
      </c>
      <c r="S27" s="179"/>
      <c r="T27" s="121" t="str">
        <f>'Quadro Geral'!B28</f>
        <v>A</v>
      </c>
      <c r="U27" s="121" t="str">
        <f>'Quadro Geral'!E28</f>
        <v>Construir cultura organizacional adequada à estratégia</v>
      </c>
    </row>
    <row r="28" spans="1:21" ht="31.5">
      <c r="A28" s="186" t="str">
        <f>'Quadro Geral'!A29</f>
        <v>Gerência Geral (Gergel)</v>
      </c>
      <c r="B28" s="187" t="str">
        <f>'Quadro Geral'!C29</f>
        <v>Mudança e adequações da nova sede e escritórios descentralizados do CAU/MG</v>
      </c>
      <c r="C28" s="188">
        <f>'Quadro Geral'!I29</f>
        <v>50000</v>
      </c>
      <c r="D28" s="174"/>
      <c r="E28" s="178"/>
      <c r="F28" s="178"/>
      <c r="G28" s="178"/>
      <c r="H28" s="178"/>
      <c r="I28" s="178"/>
      <c r="J28" s="178">
        <v>20000</v>
      </c>
      <c r="K28" s="178"/>
      <c r="L28" s="178"/>
      <c r="M28" s="178"/>
      <c r="N28" s="192">
        <f t="shared" si="0"/>
        <v>20000</v>
      </c>
      <c r="O28" s="180">
        <f>'Facultativo- Anexo 4'!E421</f>
        <v>30000</v>
      </c>
      <c r="P28" s="192">
        <f t="shared" si="4"/>
        <v>50000</v>
      </c>
      <c r="Q28" s="193">
        <f t="shared" si="1"/>
        <v>0.41503648084339018</v>
      </c>
      <c r="R28" s="3" t="b">
        <f t="shared" si="2"/>
        <v>1</v>
      </c>
      <c r="S28" s="179"/>
      <c r="T28" s="121" t="str">
        <f>'Quadro Geral'!B29</f>
        <v>P</v>
      </c>
      <c r="U28" s="121" t="str">
        <f>'Quadro Geral'!E29</f>
        <v>Ter sistemas de informação e infraestrutura que viabilizem a gestão e o atendimento dos arquitetos e urbanistas e a sociedade</v>
      </c>
    </row>
    <row r="29" spans="1:21" ht="31.5">
      <c r="A29" s="186" t="str">
        <f>'Quadro Geral'!A30</f>
        <v>Secretaria Geral</v>
      </c>
      <c r="B29" s="187" t="str">
        <f>'Quadro Geral'!C30</f>
        <v xml:space="preserve"> Manter e Desenvolver as Atividades da Secretaria Geral</v>
      </c>
      <c r="C29" s="188">
        <f>'Quadro Geral'!I30</f>
        <v>478741.18405553332</v>
      </c>
      <c r="D29" s="174"/>
      <c r="E29" s="178">
        <v>416741.18405553332</v>
      </c>
      <c r="F29" s="178">
        <v>5000</v>
      </c>
      <c r="G29" s="178"/>
      <c r="H29" s="178"/>
      <c r="I29" s="178"/>
      <c r="J29" s="178">
        <v>57000</v>
      </c>
      <c r="K29" s="178"/>
      <c r="L29" s="178"/>
      <c r="M29" s="178"/>
      <c r="N29" s="192">
        <f t="shared" si="0"/>
        <v>478741.18405553332</v>
      </c>
      <c r="O29" s="178"/>
      <c r="P29" s="192">
        <f t="shared" si="4"/>
        <v>478741.18405553332</v>
      </c>
      <c r="Q29" s="193">
        <f t="shared" si="1"/>
        <v>3.9739011253041259</v>
      </c>
      <c r="R29" s="3" t="b">
        <f t="shared" si="2"/>
        <v>1</v>
      </c>
      <c r="S29" s="179"/>
      <c r="T29" s="121" t="str">
        <f>'Quadro Geral'!B30</f>
        <v>A</v>
      </c>
      <c r="U29" s="121" t="str">
        <f>'Quadro Geral'!E30</f>
        <v>Aprimorar e inovar os processos e as ações</v>
      </c>
    </row>
    <row r="30" spans="1:21" ht="94.5">
      <c r="A30" s="186" t="str">
        <f>'Quadro Geral'!A31</f>
        <v>Gerência Técnica  de Fiscalização (Gertef) - Coordenação Fiscalização</v>
      </c>
      <c r="B30" s="187" t="str">
        <f>'Quadro Geral'!C31</f>
        <v>Manter e Desenvolver as Atividades de Coordenação da Fiscalização da GERTEF</v>
      </c>
      <c r="C30" s="188">
        <f>'Quadro Geral'!I31</f>
        <v>1410281.7996340224</v>
      </c>
      <c r="D30" s="174"/>
      <c r="E30" s="178">
        <v>1356281.7996340224</v>
      </c>
      <c r="F30" s="178">
        <v>5000</v>
      </c>
      <c r="G30" s="178">
        <v>3000</v>
      </c>
      <c r="H30" s="178"/>
      <c r="I30" s="178"/>
      <c r="J30" s="178">
        <v>46000</v>
      </c>
      <c r="K30" s="178"/>
      <c r="L30" s="178"/>
      <c r="M30" s="178"/>
      <c r="N30" s="192">
        <f t="shared" si="0"/>
        <v>1410281.7996340224</v>
      </c>
      <c r="O30" s="178"/>
      <c r="P30" s="192">
        <f t="shared" si="4"/>
        <v>1410281.7996340224</v>
      </c>
      <c r="Q30" s="193">
        <f t="shared" si="1"/>
        <v>11.706367902351754</v>
      </c>
      <c r="R30" s="3" t="b">
        <f t="shared" si="2"/>
        <v>1</v>
      </c>
      <c r="S30" s="179"/>
      <c r="T30" s="121" t="str">
        <f>'Quadro Geral'!B31</f>
        <v>A</v>
      </c>
      <c r="U30" s="121" t="str">
        <f>'Quadro Geral'!E31</f>
        <v>Tornar a fiscalização um vetor de melhoria do exercício da Arquitetura e Urbanismo</v>
      </c>
    </row>
    <row r="31" spans="1:21" ht="63">
      <c r="A31" s="186" t="str">
        <f>'Quadro Geral'!A32</f>
        <v>Gerência Técnica  de Fiscalização (Gertef) - Rotas</v>
      </c>
      <c r="B31" s="187" t="str">
        <f>'Quadro Geral'!C32</f>
        <v>Fiscalização Itinerante / Rotas</v>
      </c>
      <c r="C31" s="188">
        <f>'Quadro Geral'!I32</f>
        <v>200000</v>
      </c>
      <c r="D31" s="174"/>
      <c r="E31" s="178"/>
      <c r="F31" s="178">
        <v>10000</v>
      </c>
      <c r="G31" s="178">
        <v>32000</v>
      </c>
      <c r="H31" s="178">
        <v>40000</v>
      </c>
      <c r="I31" s="178"/>
      <c r="J31" s="178">
        <v>118000</v>
      </c>
      <c r="K31" s="178"/>
      <c r="L31" s="178"/>
      <c r="M31" s="178"/>
      <c r="N31" s="192">
        <f t="shared" si="0"/>
        <v>200000</v>
      </c>
      <c r="O31" s="178"/>
      <c r="P31" s="192">
        <f t="shared" si="4"/>
        <v>200000</v>
      </c>
      <c r="Q31" s="193">
        <f t="shared" si="1"/>
        <v>1.6601459233735607</v>
      </c>
      <c r="R31" s="3" t="b">
        <f t="shared" si="2"/>
        <v>1</v>
      </c>
      <c r="S31" s="179"/>
      <c r="T31" s="121" t="str">
        <f>'Quadro Geral'!B32</f>
        <v>A</v>
      </c>
      <c r="U31" s="121" t="str">
        <f>'Quadro Geral'!E32</f>
        <v>Tornar a fiscalização um vetor de melhoria do exercício da Arquitetura e Urbanismo</v>
      </c>
    </row>
    <row r="32" spans="1:21" ht="94.5">
      <c r="A32" s="186" t="str">
        <f>'Quadro Geral'!A33</f>
        <v>Gerência Técnica e Fiscalização (Gertef) -  Coordenação de Fiscalização</v>
      </c>
      <c r="B32" s="187" t="str">
        <f>'Quadro Geral'!C33</f>
        <v>Centro de Serviços Compartilhados (CSC) - Fiscalização</v>
      </c>
      <c r="C32" s="188">
        <f>'Quadro Geral'!I33</f>
        <v>896349.2</v>
      </c>
      <c r="D32" s="174"/>
      <c r="E32" s="178"/>
      <c r="F32" s="178"/>
      <c r="G32" s="178"/>
      <c r="H32" s="178"/>
      <c r="I32" s="178"/>
      <c r="J32" s="178"/>
      <c r="K32" s="178">
        <v>896349.2</v>
      </c>
      <c r="L32" s="178"/>
      <c r="M32" s="178"/>
      <c r="N32" s="192">
        <f t="shared" si="0"/>
        <v>896349.2</v>
      </c>
      <c r="O32" s="178"/>
      <c r="P32" s="192">
        <f t="shared" si="4"/>
        <v>896349.2</v>
      </c>
      <c r="Q32" s="193">
        <f t="shared" si="1"/>
        <v>7.4403523514957621</v>
      </c>
      <c r="R32" s="3" t="b">
        <f t="shared" si="2"/>
        <v>1</v>
      </c>
      <c r="S32" s="179"/>
      <c r="T32" s="121" t="str">
        <f>'Quadro Geral'!B33</f>
        <v>A</v>
      </c>
      <c r="U32" s="121" t="str">
        <f>'Quadro Geral'!E33</f>
        <v>Tornar a fiscalização um vetor de melhoria do exercício da Arquitetura e Urbanismo</v>
      </c>
    </row>
    <row r="33" spans="1:21" ht="94.5">
      <c r="A33" s="186" t="str">
        <f>'Quadro Geral'!A34</f>
        <v>Gerência Técnica  de Fiscalização (Gertef) - Coordenação Técnica</v>
      </c>
      <c r="B33" s="187" t="str">
        <f>'Quadro Geral'!C34</f>
        <v>Manter e Desenvolver as Atividades de Coordenação Técnica da GERTEF</v>
      </c>
      <c r="C33" s="188">
        <f>'Quadro Geral'!I34</f>
        <v>1726044.5228844699</v>
      </c>
      <c r="D33" s="174"/>
      <c r="E33" s="180">
        <v>1632526.1228844675</v>
      </c>
      <c r="F33" s="180">
        <v>5000</v>
      </c>
      <c r="G33" s="180"/>
      <c r="H33" s="180"/>
      <c r="I33" s="180">
        <v>70000</v>
      </c>
      <c r="J33" s="355">
        <v>18518.400000000001</v>
      </c>
      <c r="K33" s="180"/>
      <c r="L33" s="180"/>
      <c r="M33" s="180"/>
      <c r="N33" s="194">
        <f t="shared" si="0"/>
        <v>1726044.5228844674</v>
      </c>
      <c r="O33" s="180"/>
      <c r="P33" s="194">
        <f t="shared" si="4"/>
        <v>1726044.5228844674</v>
      </c>
      <c r="Q33" s="193">
        <f t="shared" si="1"/>
        <v>14.327428891139556</v>
      </c>
      <c r="R33" s="3" t="b">
        <f t="shared" si="2"/>
        <v>1</v>
      </c>
      <c r="S33" s="179"/>
      <c r="T33" s="121" t="str">
        <f>'Quadro Geral'!B34</f>
        <v>A</v>
      </c>
      <c r="U33" s="121" t="str">
        <f>'Quadro Geral'!E34</f>
        <v>Assegurar a eficácia no atendimento e no relacionamento com os Arquitetos e Urbanistas e a Sociedade</v>
      </c>
    </row>
    <row r="34" spans="1:21" ht="94.5">
      <c r="A34" s="186" t="str">
        <f>'Quadro Geral'!A35</f>
        <v>Gerência Técnica e Fiscalização (Gertef) -  Coordenação Técnica</v>
      </c>
      <c r="B34" s="187" t="str">
        <f>'Quadro Geral'!C35</f>
        <v>Centro de Serviços Compartilhados (CSC) - Atendimento</v>
      </c>
      <c r="C34" s="188">
        <f>'Quadro Geral'!I35</f>
        <v>111232.17</v>
      </c>
      <c r="D34" s="174"/>
      <c r="E34" s="180"/>
      <c r="F34" s="180"/>
      <c r="G34" s="180"/>
      <c r="H34" s="180"/>
      <c r="I34" s="180"/>
      <c r="J34" s="180"/>
      <c r="K34" s="180">
        <v>111232.17</v>
      </c>
      <c r="L34" s="180"/>
      <c r="M34" s="180"/>
      <c r="N34" s="194">
        <f t="shared" si="0"/>
        <v>111232.17</v>
      </c>
      <c r="O34" s="180"/>
      <c r="P34" s="194">
        <f t="shared" si="4"/>
        <v>111232.17</v>
      </c>
      <c r="Q34" s="193">
        <f t="shared" si="1"/>
        <v>0.92330816786747438</v>
      </c>
      <c r="R34" s="3" t="b">
        <f t="shared" si="2"/>
        <v>1</v>
      </c>
      <c r="S34" s="179"/>
      <c r="T34" s="121" t="str">
        <f>'Quadro Geral'!B35</f>
        <v>A</v>
      </c>
      <c r="U34" s="121" t="str">
        <f>'Quadro Geral'!E35</f>
        <v>Assegurar a eficácia no atendimento e no relacionamento com os Arquitetos e Urbanistas e a Sociedade</v>
      </c>
    </row>
    <row r="35" spans="1:21" ht="31.5">
      <c r="A35" s="186" t="str">
        <f>'Quadro Geral'!A36</f>
        <v>Gerência Jurídica (Gerjur)</v>
      </c>
      <c r="B35" s="187" t="str">
        <f>'Quadro Geral'!C36</f>
        <v>Manter e Desenvolver as Atividades da Gerência Jurídica</v>
      </c>
      <c r="C35" s="188">
        <f>'Quadro Geral'!I36</f>
        <v>657253.94301846705</v>
      </c>
      <c r="D35" s="174"/>
      <c r="E35" s="180">
        <v>607253.9430184667</v>
      </c>
      <c r="F35" s="180">
        <v>2500</v>
      </c>
      <c r="G35" s="180"/>
      <c r="H35" s="180"/>
      <c r="I35" s="180">
        <v>2500</v>
      </c>
      <c r="J35" s="180">
        <v>20000</v>
      </c>
      <c r="K35" s="180"/>
      <c r="L35" s="180"/>
      <c r="M35" s="180">
        <v>25000</v>
      </c>
      <c r="N35" s="194">
        <f t="shared" si="0"/>
        <v>657253.9430184667</v>
      </c>
      <c r="O35" s="180"/>
      <c r="P35" s="194">
        <f t="shared" si="4"/>
        <v>657253.9430184667</v>
      </c>
      <c r="Q35" s="193">
        <f t="shared" si="1"/>
        <v>5.4556872706165302</v>
      </c>
      <c r="R35" s="3" t="b">
        <f t="shared" si="2"/>
        <v>1</v>
      </c>
      <c r="S35" s="179"/>
      <c r="T35" s="121" t="str">
        <f>'Quadro Geral'!B36</f>
        <v>A</v>
      </c>
      <c r="U35" s="121" t="str">
        <f>'Quadro Geral'!E36</f>
        <v>Aprimorar e inovar os processos e as ações</v>
      </c>
    </row>
    <row r="36" spans="1:21" ht="47.25">
      <c r="A36" s="186" t="str">
        <f>'Quadro Geral'!A37</f>
        <v>Gerência Administrativa e Financeira (GAF)</v>
      </c>
      <c r="B36" s="187" t="str">
        <f>'Quadro Geral'!C37</f>
        <v>Fundo de Apoio aos CAU/UF</v>
      </c>
      <c r="C36" s="188">
        <f>'Quadro Geral'!I37</f>
        <v>207992.07</v>
      </c>
      <c r="D36" s="174"/>
      <c r="E36" s="180"/>
      <c r="F36" s="180"/>
      <c r="G36" s="180"/>
      <c r="H36" s="180"/>
      <c r="I36" s="180"/>
      <c r="J36" s="180"/>
      <c r="K36" s="180">
        <v>207992.07</v>
      </c>
      <c r="L36" s="180"/>
      <c r="M36" s="180"/>
      <c r="N36" s="194">
        <f t="shared" si="0"/>
        <v>207992.07</v>
      </c>
      <c r="O36" s="180"/>
      <c r="P36" s="194">
        <f t="shared" si="4"/>
        <v>207992.07</v>
      </c>
      <c r="Q36" s="193">
        <f t="shared" si="1"/>
        <v>1.7264859355226414</v>
      </c>
      <c r="R36" s="3" t="b">
        <f t="shared" si="2"/>
        <v>1</v>
      </c>
      <c r="S36" s="179"/>
      <c r="T36" s="121" t="str">
        <f>'Quadro Geral'!B37</f>
        <v>A</v>
      </c>
      <c r="U36" s="121" t="str">
        <f>'Quadro Geral'!E37</f>
        <v>Assegurar a sustentabilidade financeira</v>
      </c>
    </row>
    <row r="37" spans="1:21" ht="47.25">
      <c r="A37" s="186" t="str">
        <f>'Quadro Geral'!A38</f>
        <v>Gerência Administrativa e Financeira (GAF)</v>
      </c>
      <c r="B37" s="187" t="str">
        <f>'Quadro Geral'!C38</f>
        <v>Reserva de Contingência</v>
      </c>
      <c r="C37" s="188">
        <f>'Quadro Geral'!I38</f>
        <v>30000</v>
      </c>
      <c r="D37" s="174"/>
      <c r="E37" s="180"/>
      <c r="F37" s="180"/>
      <c r="G37" s="180"/>
      <c r="H37" s="180"/>
      <c r="I37" s="180"/>
      <c r="J37" s="180"/>
      <c r="K37" s="180"/>
      <c r="L37" s="180">
        <v>30000</v>
      </c>
      <c r="M37" s="180"/>
      <c r="N37" s="194">
        <f t="shared" si="0"/>
        <v>30000</v>
      </c>
      <c r="O37" s="180"/>
      <c r="P37" s="194">
        <f t="shared" si="4"/>
        <v>30000</v>
      </c>
      <c r="Q37" s="193">
        <f t="shared" si="1"/>
        <v>0.24902188850603413</v>
      </c>
      <c r="R37" s="3" t="b">
        <f t="shared" si="2"/>
        <v>1</v>
      </c>
      <c r="S37" s="179"/>
      <c r="T37" s="121" t="str">
        <f>'Quadro Geral'!B38</f>
        <v>A</v>
      </c>
      <c r="U37" s="121" t="str">
        <f>'Quadro Geral'!E38</f>
        <v>Assegurar a sustentabilidade financeira</v>
      </c>
    </row>
    <row r="38" spans="1:21" ht="47.25">
      <c r="A38" s="186" t="str">
        <f>'Quadro Geral'!A39</f>
        <v>Gerência Administrativa e Financeira (GAF)</v>
      </c>
      <c r="B38" s="187" t="str">
        <f>'Quadro Geral'!C39</f>
        <v>Manter e Desenvolver as Atividades da Gerência Administrativa e Financeira</v>
      </c>
      <c r="C38" s="188">
        <f>'Quadro Geral'!I39</f>
        <v>2342617.8522336166</v>
      </c>
      <c r="D38" s="174"/>
      <c r="E38" s="180">
        <v>1304413.512426018</v>
      </c>
      <c r="F38" s="180"/>
      <c r="G38" s="180">
        <v>70000</v>
      </c>
      <c r="H38" s="180"/>
      <c r="I38" s="180"/>
      <c r="J38" s="180">
        <v>665457.54</v>
      </c>
      <c r="K38" s="180"/>
      <c r="L38" s="180"/>
      <c r="M38" s="180">
        <v>262746.79980759864</v>
      </c>
      <c r="N38" s="194">
        <f t="shared" si="0"/>
        <v>2302617.8522336166</v>
      </c>
      <c r="O38" s="180">
        <f>'Facultativo- Anexo 4'!E578</f>
        <v>40000</v>
      </c>
      <c r="P38" s="194">
        <f t="shared" si="4"/>
        <v>2342617.8522336166</v>
      </c>
      <c r="Q38" s="193">
        <f t="shared" si="1"/>
        <v>19.445437387038826</v>
      </c>
      <c r="R38" s="3" t="b">
        <f t="shared" si="2"/>
        <v>1</v>
      </c>
      <c r="S38" s="179"/>
      <c r="T38" s="121" t="str">
        <f>'Quadro Geral'!B39</f>
        <v>A</v>
      </c>
      <c r="U38" s="121" t="str">
        <f>'Quadro Geral'!E39</f>
        <v>Assegurar a sustentabilidade financeira</v>
      </c>
    </row>
    <row r="39" spans="1:21" ht="94.5">
      <c r="A39" s="186" t="str">
        <f>'Quadro Geral'!A40</f>
        <v>Gerência Especial de Planejamento e Gestão Estratégica (Geplan)</v>
      </c>
      <c r="B39" s="187" t="str">
        <f>'Quadro Geral'!C40</f>
        <v>Manter e Desenvolver as Atividades da Gerência Especial de Planejamento e Gestão Estratégica</v>
      </c>
      <c r="C39" s="188">
        <f>'Quadro Geral'!I40</f>
        <v>478799.56025126675</v>
      </c>
      <c r="D39" s="174"/>
      <c r="E39" s="180">
        <v>453799.56025126675</v>
      </c>
      <c r="F39" s="180"/>
      <c r="G39" s="180"/>
      <c r="H39" s="180"/>
      <c r="I39" s="180"/>
      <c r="J39" s="180">
        <v>25000</v>
      </c>
      <c r="K39" s="180"/>
      <c r="L39" s="180"/>
      <c r="M39" s="180"/>
      <c r="N39" s="194">
        <f t="shared" si="0"/>
        <v>478799.56025126675</v>
      </c>
      <c r="O39" s="180"/>
      <c r="P39" s="194">
        <f t="shared" si="4"/>
        <v>478799.56025126675</v>
      </c>
      <c r="Q39" s="193">
        <f t="shared" si="1"/>
        <v>3.9743856903209704</v>
      </c>
      <c r="R39" s="3" t="b">
        <f t="shared" si="2"/>
        <v>1</v>
      </c>
      <c r="S39" s="179"/>
      <c r="T39" s="121" t="str">
        <f>'Quadro Geral'!B40</f>
        <v>A</v>
      </c>
      <c r="U39" s="121" t="str">
        <f>'Quadro Geral'!E40</f>
        <v>Aprimorar e inovar os processos e as ações</v>
      </c>
    </row>
    <row r="40" spans="1:21" ht="47.25">
      <c r="A40" s="186" t="str">
        <f>'Quadro Geral'!A41</f>
        <v>Escritório Descentralizado Norte Minas</v>
      </c>
      <c r="B40" s="187" t="str">
        <f>'Quadro Geral'!C41</f>
        <v>Manter e Desenvolver as Atividades do Escritório Descentralizado Norte de Minas</v>
      </c>
      <c r="C40" s="188">
        <f>'Quadro Geral'!I41</f>
        <v>141851.10302906667</v>
      </c>
      <c r="D40" s="174"/>
      <c r="E40" s="180">
        <v>58098.271029066666</v>
      </c>
      <c r="F40" s="180"/>
      <c r="G40" s="180">
        <v>1000</v>
      </c>
      <c r="H40" s="180"/>
      <c r="I40" s="180"/>
      <c r="J40" s="180">
        <v>82592.831999999995</v>
      </c>
      <c r="K40" s="180"/>
      <c r="L40" s="180"/>
      <c r="M40" s="180">
        <v>160</v>
      </c>
      <c r="N40" s="194">
        <f t="shared" si="0"/>
        <v>141851.10302906667</v>
      </c>
      <c r="O40" s="180"/>
      <c r="P40" s="194">
        <f t="shared" si="4"/>
        <v>141851.10302906667</v>
      </c>
      <c r="Q40" s="193">
        <f t="shared" si="1"/>
        <v>1.1774676520987399</v>
      </c>
      <c r="R40" s="3" t="b">
        <f t="shared" si="2"/>
        <v>1</v>
      </c>
      <c r="S40" s="179"/>
      <c r="T40" s="121" t="str">
        <f>'Quadro Geral'!B41</f>
        <v>A</v>
      </c>
      <c r="U40" s="121" t="str">
        <f>'Quadro Geral'!E41</f>
        <v>Assegurar a eficácia no atendimento e no relacionamento com os Arquitetos e Urbanistas e a Sociedade</v>
      </c>
    </row>
    <row r="41" spans="1:21" ht="78.75">
      <c r="A41" s="186" t="str">
        <f>'Quadro Geral'!A42</f>
        <v>Escritório Descentralizado Triângulo Mineiro e Alto Paranaíba</v>
      </c>
      <c r="B41" s="187" t="str">
        <f>'Quadro Geral'!C42</f>
        <v>Manter e Desenvolver as Atividades do Escritório Descentralizado Triângulo Mineiro e Alto Paranaíba</v>
      </c>
      <c r="C41" s="188">
        <f>'Quadro Geral'!I42</f>
        <v>167381.19541704445</v>
      </c>
      <c r="D41" s="174"/>
      <c r="E41" s="180">
        <v>73719.227417044443</v>
      </c>
      <c r="F41" s="180"/>
      <c r="G41" s="180">
        <v>1000</v>
      </c>
      <c r="H41" s="180"/>
      <c r="I41" s="180"/>
      <c r="J41" s="180">
        <v>92501.967999999993</v>
      </c>
      <c r="K41" s="180"/>
      <c r="L41" s="180"/>
      <c r="M41" s="180">
        <v>160</v>
      </c>
      <c r="N41" s="194">
        <f t="shared" si="0"/>
        <v>167381.19541704445</v>
      </c>
      <c r="O41" s="180"/>
      <c r="P41" s="194">
        <f t="shared" si="4"/>
        <v>167381.19541704445</v>
      </c>
      <c r="Q41" s="193">
        <f t="shared" si="1"/>
        <v>1.3893860461049985</v>
      </c>
      <c r="R41" s="3" t="b">
        <f t="shared" si="2"/>
        <v>1</v>
      </c>
      <c r="S41" s="179"/>
      <c r="T41" s="121" t="str">
        <f>'Quadro Geral'!B42</f>
        <v>A</v>
      </c>
      <c r="U41" s="121" t="str">
        <f>'Quadro Geral'!E42</f>
        <v>Assegurar a eficácia no atendimento e no relacionamento com os Arquitetos e Urbanistas e a Sociedade</v>
      </c>
    </row>
    <row r="42" spans="1:21" ht="63">
      <c r="A42" s="186" t="str">
        <f>'Quadro Geral'!A43</f>
        <v>Escritório Descentralizado Zona da Mata e Vertentes</v>
      </c>
      <c r="B42" s="187" t="str">
        <f>'Quadro Geral'!C43</f>
        <v>Manter e Desenvolver as Atividades do Escritório Descentralizado Zona da Mata e Vertentes.</v>
      </c>
      <c r="C42" s="188">
        <f>'Quadro Geral'!I43</f>
        <v>104181.17973704444</v>
      </c>
      <c r="D42" s="174"/>
      <c r="E42" s="180">
        <v>50584.347737044445</v>
      </c>
      <c r="F42" s="180"/>
      <c r="G42" s="180">
        <v>1000</v>
      </c>
      <c r="H42" s="180"/>
      <c r="I42" s="180"/>
      <c r="J42" s="180">
        <v>52436.832000000002</v>
      </c>
      <c r="K42" s="180"/>
      <c r="L42" s="180"/>
      <c r="M42" s="180">
        <v>160</v>
      </c>
      <c r="N42" s="194">
        <f t="shared" ref="N42:N46" si="5">SUM(E42:M42)</f>
        <v>104181.17973704444</v>
      </c>
      <c r="O42" s="180"/>
      <c r="P42" s="194">
        <f t="shared" ref="P42:P46" si="6">N42+O42</f>
        <v>104181.17973704444</v>
      </c>
      <c r="Q42" s="193">
        <f t="shared" si="1"/>
        <v>0.86477980416351274</v>
      </c>
      <c r="R42" s="3" t="b">
        <f t="shared" ref="R42:R46" si="7">C42=P42</f>
        <v>1</v>
      </c>
      <c r="S42" s="179"/>
      <c r="T42" s="121" t="str">
        <f>'Quadro Geral'!B43</f>
        <v>A</v>
      </c>
      <c r="U42" s="121" t="str">
        <f>'Quadro Geral'!E43</f>
        <v>Assegurar a eficácia no atendimento e no relacionamento com os Arquitetos e Urbanistas e a Sociedade</v>
      </c>
    </row>
    <row r="43" spans="1:21" ht="47.25">
      <c r="A43" s="186" t="str">
        <f>'Quadro Geral'!A44</f>
        <v>Escritório Descentralizado Sul de Minas</v>
      </c>
      <c r="B43" s="187" t="str">
        <f>'Quadro Geral'!C44</f>
        <v>Manter e Desenvolver as Atividades do Escritório Descentralizado Sul de Minas</v>
      </c>
      <c r="C43" s="188">
        <f>'Quadro Geral'!I44</f>
        <v>110307.14101704444</v>
      </c>
      <c r="D43" s="174"/>
      <c r="E43" s="180">
        <v>54278.133017044442</v>
      </c>
      <c r="F43" s="180"/>
      <c r="G43" s="180">
        <v>1000</v>
      </c>
      <c r="H43" s="180"/>
      <c r="I43" s="180"/>
      <c r="J43" s="180">
        <v>54869.008000000002</v>
      </c>
      <c r="K43" s="180"/>
      <c r="L43" s="180"/>
      <c r="M43" s="180">
        <v>160</v>
      </c>
      <c r="N43" s="194">
        <f t="shared" si="5"/>
        <v>110307.14101704444</v>
      </c>
      <c r="O43" s="180"/>
      <c r="P43" s="194">
        <f t="shared" si="6"/>
        <v>110307.14101704444</v>
      </c>
      <c r="Q43" s="193">
        <f t="shared" si="1"/>
        <v>0.91562975239219413</v>
      </c>
      <c r="R43" s="3" t="b">
        <f t="shared" si="7"/>
        <v>1</v>
      </c>
      <c r="S43" s="179"/>
      <c r="T43" s="121" t="str">
        <f>'Quadro Geral'!B44</f>
        <v>A</v>
      </c>
      <c r="U43" s="121" t="str">
        <f>'Quadro Geral'!E44</f>
        <v>Assegurar a eficácia no atendimento e no relacionamento com os Arquitetos e Urbanistas e a Sociedade</v>
      </c>
    </row>
    <row r="44" spans="1:21" ht="47.25">
      <c r="A44" s="186" t="str">
        <f>'Quadro Geral'!A45</f>
        <v>Escritório Descentralizado Leste de Minas</v>
      </c>
      <c r="B44" s="187" t="str">
        <f>'Quadro Geral'!C45</f>
        <v>Manter e Desenvolver as Atividades do Escritório Descentralizado Leste de Minas</v>
      </c>
      <c r="C44" s="188">
        <f>'Quadro Geral'!I45</f>
        <v>123755.06069206668</v>
      </c>
      <c r="D44" s="174"/>
      <c r="E44" s="180">
        <v>69670.052692066674</v>
      </c>
      <c r="F44" s="180"/>
      <c r="G44" s="180">
        <v>1000</v>
      </c>
      <c r="H44" s="180"/>
      <c r="I44" s="180"/>
      <c r="J44" s="180">
        <v>52925.008000000002</v>
      </c>
      <c r="K44" s="180"/>
      <c r="L44" s="180"/>
      <c r="M44" s="180">
        <v>160</v>
      </c>
      <c r="N44" s="194">
        <f t="shared" si="5"/>
        <v>123755.06069206668</v>
      </c>
      <c r="O44" s="180"/>
      <c r="P44" s="194">
        <f t="shared" si="6"/>
        <v>123755.06069206668</v>
      </c>
      <c r="Q44" s="193">
        <f t="shared" si="1"/>
        <v>1.0272572975239103</v>
      </c>
      <c r="R44" s="3" t="b">
        <f t="shared" si="7"/>
        <v>1</v>
      </c>
      <c r="S44" s="179"/>
      <c r="T44" s="121" t="str">
        <f>'Quadro Geral'!B45</f>
        <v>A</v>
      </c>
      <c r="U44" s="121" t="str">
        <f>'Quadro Geral'!E45</f>
        <v>Assegurar a eficácia no atendimento e no relacionamento com os Arquitetos e Urbanistas e a Sociedade</v>
      </c>
    </row>
    <row r="45" spans="1:21" ht="94.5">
      <c r="A45" s="186" t="str">
        <f>'Quadro Geral'!A46</f>
        <v>Colegiado das Entidades Estaduais de Arquitetos e Urbanistas do CAU/MG (CEAU)</v>
      </c>
      <c r="B45" s="187" t="str">
        <f>'Quadro Geral'!C46</f>
        <v>Manter e Desenvolver as Atividades do Colegiado das Entidades Estaduais de Arquitetos e Urbanistas do CAU/MG</v>
      </c>
      <c r="C45" s="188">
        <f>'Quadro Geral'!I46</f>
        <v>18000</v>
      </c>
      <c r="D45" s="174"/>
      <c r="E45" s="180"/>
      <c r="F45" s="180"/>
      <c r="G45" s="180"/>
      <c r="H45" s="180">
        <v>9000</v>
      </c>
      <c r="I45" s="180">
        <v>9000</v>
      </c>
      <c r="J45" s="180"/>
      <c r="K45" s="180"/>
      <c r="L45" s="180"/>
      <c r="M45" s="180"/>
      <c r="N45" s="194">
        <f t="shared" si="5"/>
        <v>18000</v>
      </c>
      <c r="O45" s="180"/>
      <c r="P45" s="194">
        <f t="shared" si="6"/>
        <v>18000</v>
      </c>
      <c r="Q45" s="193">
        <f t="shared" si="1"/>
        <v>0.14941313310362048</v>
      </c>
      <c r="R45" s="3" t="b">
        <f t="shared" si="7"/>
        <v>1</v>
      </c>
      <c r="S45" s="179"/>
      <c r="T45" s="121" t="str">
        <f>'Quadro Geral'!B46</f>
        <v>A</v>
      </c>
      <c r="U45" s="121" t="str">
        <f>'Quadro Geral'!E46</f>
        <v>Valorizar a Arquitetura e Urbanismo</v>
      </c>
    </row>
    <row r="46" spans="1:21" ht="94.5">
      <c r="A46" s="186" t="str">
        <f>'Quadro Geral'!A47</f>
        <v>Colegiado das Entidades Estaduais de Arquitetos e Urbanistas do CAU/MG (CEAU)</v>
      </c>
      <c r="B46" s="187" t="str">
        <f>'Quadro Geral'!C47</f>
        <v>Edital de Patrocínio para Entidades de Arquitetos e Urbanistas</v>
      </c>
      <c r="C46" s="188">
        <f>'Quadro Geral'!I47</f>
        <v>100000</v>
      </c>
      <c r="D46" s="174"/>
      <c r="E46" s="180"/>
      <c r="F46" s="180"/>
      <c r="G46" s="180"/>
      <c r="H46" s="180"/>
      <c r="I46" s="180"/>
      <c r="J46" s="180"/>
      <c r="K46" s="180">
        <v>100000</v>
      </c>
      <c r="L46" s="180"/>
      <c r="M46" s="180"/>
      <c r="N46" s="194">
        <f t="shared" si="5"/>
        <v>100000</v>
      </c>
      <c r="O46" s="180"/>
      <c r="P46" s="194">
        <f t="shared" si="6"/>
        <v>100000</v>
      </c>
      <c r="Q46" s="193">
        <f t="shared" si="1"/>
        <v>0.83007296168678035</v>
      </c>
      <c r="R46" s="3" t="b">
        <f t="shared" si="7"/>
        <v>1</v>
      </c>
      <c r="S46" s="179"/>
      <c r="T46" s="121" t="str">
        <f>'Quadro Geral'!B47</f>
        <v>P</v>
      </c>
      <c r="U46" s="121" t="str">
        <f>'Quadro Geral'!E47</f>
        <v>Estimular o conhecimento, o uso de processos criativos e a difusão das melhores práticas em Arquitetura e Urbanismo</v>
      </c>
    </row>
    <row r="47" spans="1:21" s="182" customFormat="1">
      <c r="A47" s="488" t="s">
        <v>458</v>
      </c>
      <c r="B47" s="488"/>
      <c r="C47" s="189">
        <f>SUM(C7:C46)</f>
        <v>12047133.760000004</v>
      </c>
      <c r="D47" s="174"/>
      <c r="E47" s="190">
        <f t="shared" ref="E47:Q47" si="8">SUM(E7:E46)</f>
        <v>6851395.6788590681</v>
      </c>
      <c r="F47" s="190">
        <f t="shared" si="8"/>
        <v>50000</v>
      </c>
      <c r="G47" s="190">
        <f t="shared" si="8"/>
        <v>125000</v>
      </c>
      <c r="H47" s="190">
        <f t="shared" si="8"/>
        <v>441841.46</v>
      </c>
      <c r="I47" s="190">
        <f t="shared" si="8"/>
        <v>490841.46</v>
      </c>
      <c r="J47" s="190">
        <f>SUM(J7:J46)</f>
        <v>1753134.921333333</v>
      </c>
      <c r="K47" s="190">
        <f t="shared" si="8"/>
        <v>1946373.44</v>
      </c>
      <c r="L47" s="190">
        <f t="shared" si="8"/>
        <v>30000</v>
      </c>
      <c r="M47" s="190">
        <f t="shared" si="8"/>
        <v>288546.79980759864</v>
      </c>
      <c r="N47" s="190">
        <f t="shared" si="8"/>
        <v>11977133.760000002</v>
      </c>
      <c r="O47" s="190">
        <f t="shared" si="8"/>
        <v>70000</v>
      </c>
      <c r="P47" s="190">
        <f t="shared" si="8"/>
        <v>12047133.760000002</v>
      </c>
      <c r="Q47" s="489">
        <f t="shared" si="8"/>
        <v>100.00000000000001</v>
      </c>
      <c r="R47" s="195" t="b">
        <f>C47=P47</f>
        <v>1</v>
      </c>
      <c r="S47" s="181"/>
      <c r="T47" s="145"/>
    </row>
    <row r="48" spans="1:21" s="182" customFormat="1">
      <c r="A48" s="488" t="s">
        <v>451</v>
      </c>
      <c r="B48" s="488"/>
      <c r="C48" s="488"/>
      <c r="D48" s="174"/>
      <c r="E48" s="191">
        <f>IFERROR(E47/$P47*100,0)</f>
        <v>56.871583028385565</v>
      </c>
      <c r="F48" s="191">
        <f>IFERROR(F47/$P47*100,0)</f>
        <v>0.41503648084339018</v>
      </c>
      <c r="G48" s="191">
        <f t="shared" ref="G48" si="9">IFERROR(G47/$P47*100,0)</f>
        <v>1.0375912021084754</v>
      </c>
      <c r="H48" s="191">
        <f t="shared" ref="H48:P48" si="10">IFERROR(H47/$P47*100,0)</f>
        <v>3.6676064929821108</v>
      </c>
      <c r="I48" s="191">
        <f t="shared" si="10"/>
        <v>4.0743422442086334</v>
      </c>
      <c r="J48" s="191">
        <f t="shared" si="10"/>
        <v>14.552298963876806</v>
      </c>
      <c r="K48" s="191">
        <f t="shared" si="10"/>
        <v>16.156319658892869</v>
      </c>
      <c r="L48" s="191">
        <f t="shared" si="10"/>
        <v>0.24902188850603413</v>
      </c>
      <c r="M48" s="191">
        <f t="shared" si="10"/>
        <v>2.3951489670153592</v>
      </c>
      <c r="N48" s="191">
        <f t="shared" si="10"/>
        <v>99.418948926819255</v>
      </c>
      <c r="O48" s="191">
        <f t="shared" si="10"/>
        <v>0.58105107318074622</v>
      </c>
      <c r="P48" s="191">
        <f t="shared" si="10"/>
        <v>100</v>
      </c>
      <c r="Q48" s="489"/>
      <c r="R48" s="145"/>
      <c r="S48" s="181"/>
      <c r="T48" s="145"/>
    </row>
    <row r="49" spans="1:20" s="185" customFormat="1" ht="25.5">
      <c r="A49" s="121"/>
      <c r="B49" s="184"/>
      <c r="C49" s="121"/>
      <c r="D49" s="174"/>
      <c r="E49" s="121"/>
      <c r="F49" s="121"/>
      <c r="G49" s="184"/>
      <c r="H49" s="184"/>
      <c r="I49" s="184"/>
      <c r="J49" s="184"/>
      <c r="K49" s="184"/>
      <c r="L49" s="184"/>
      <c r="M49" s="184"/>
      <c r="N49" s="184"/>
      <c r="O49" s="121"/>
      <c r="P49" s="184"/>
      <c r="Q49" s="184"/>
      <c r="R49" s="183"/>
      <c r="S49" s="179"/>
      <c r="T49" s="183"/>
    </row>
    <row r="50" spans="1:20" s="185" customFormat="1" ht="25.5">
      <c r="A50" s="406" t="s">
        <v>459</v>
      </c>
      <c r="B50" s="406"/>
      <c r="C50" s="406"/>
      <c r="D50" s="406"/>
      <c r="E50" s="406"/>
      <c r="F50" s="406"/>
      <c r="G50" s="406"/>
      <c r="H50" s="406"/>
      <c r="I50" s="406"/>
      <c r="J50" s="406"/>
      <c r="K50" s="406"/>
      <c r="L50" s="406"/>
      <c r="M50" s="406"/>
      <c r="N50" s="406"/>
      <c r="O50" s="406"/>
      <c r="P50" s="406"/>
      <c r="Q50" s="406"/>
      <c r="R50" s="183"/>
      <c r="S50" s="179"/>
      <c r="T50" s="183"/>
    </row>
    <row r="51" spans="1:20" s="185" customFormat="1" ht="321.75" customHeight="1">
      <c r="A51" s="485" t="s">
        <v>460</v>
      </c>
      <c r="B51" s="485"/>
      <c r="C51" s="485"/>
      <c r="D51" s="485"/>
      <c r="E51" s="485"/>
      <c r="F51" s="485"/>
      <c r="G51" s="485"/>
      <c r="H51" s="485"/>
      <c r="I51" s="485"/>
      <c r="J51" s="485"/>
      <c r="K51" s="485"/>
      <c r="L51" s="485"/>
      <c r="M51" s="485"/>
      <c r="N51" s="485"/>
      <c r="O51" s="485"/>
      <c r="P51" s="485"/>
      <c r="Q51" s="485"/>
      <c r="R51" s="183"/>
      <c r="S51" s="183"/>
      <c r="T51" s="183"/>
    </row>
  </sheetData>
  <mergeCells count="21">
    <mergeCell ref="R5:R6"/>
    <mergeCell ref="A50:Q50"/>
    <mergeCell ref="A51:Q51"/>
    <mergeCell ref="H5:J5"/>
    <mergeCell ref="K5:K6"/>
    <mergeCell ref="L5:L6"/>
    <mergeCell ref="A47:B47"/>
    <mergeCell ref="Q47:Q48"/>
    <mergeCell ref="A48:C48"/>
    <mergeCell ref="A2:Q2"/>
    <mergeCell ref="G5:G6"/>
    <mergeCell ref="M5:M6"/>
    <mergeCell ref="N5:N6"/>
    <mergeCell ref="O5:O6"/>
    <mergeCell ref="P5:P6"/>
    <mergeCell ref="A5:A6"/>
    <mergeCell ref="B5:B6"/>
    <mergeCell ref="C5:C6"/>
    <mergeCell ref="E5:F5"/>
    <mergeCell ref="A3:Q3"/>
    <mergeCell ref="Q5:Q6"/>
  </mergeCells>
  <conditionalFormatting sqref="R7:R47">
    <cfRule type="cellIs" dxfId="11" priority="4" operator="equal">
      <formula>TRUE</formula>
    </cfRule>
  </conditionalFormatting>
  <conditionalFormatting sqref="C49">
    <cfRule type="cellIs" dxfId="10" priority="3" operator="equal">
      <formula>TRUE</formula>
    </cfRule>
  </conditionalFormatting>
  <conditionalFormatting sqref="E49">
    <cfRule type="cellIs" dxfId="9" priority="2" operator="equal">
      <formula>TRUE</formula>
    </cfRule>
  </conditionalFormatting>
  <conditionalFormatting sqref="O49">
    <cfRule type="cellIs" dxfId="8" priority="1" operator="equal">
      <formula>TRUE</formula>
    </cfRule>
  </conditionalFormatting>
  <pageMargins left="0.51181102362204722" right="0.51181102362204722" top="0.78740157480314965" bottom="0.78740157480314965" header="0.31496062992125984" footer="0.31496062992125984"/>
  <pageSetup scale="45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XFD735"/>
  <sheetViews>
    <sheetView zoomScale="80" zoomScaleNormal="80" workbookViewId="0">
      <selection activeCell="K13" sqref="K13"/>
    </sheetView>
  </sheetViews>
  <sheetFormatPr defaultColWidth="60.85546875" defaultRowHeight="15"/>
  <cols>
    <col min="1" max="1" width="24.28515625" bestFit="1" customWidth="1"/>
    <col min="3" max="3" width="41.85546875" bestFit="1" customWidth="1"/>
    <col min="4" max="4" width="16.5703125" bestFit="1" customWidth="1"/>
    <col min="5" max="5" width="15.42578125" bestFit="1" customWidth="1"/>
    <col min="6" max="6" width="8.42578125" bestFit="1" customWidth="1"/>
    <col min="7" max="7" width="49" bestFit="1" customWidth="1"/>
    <col min="8" max="8" width="16.7109375" bestFit="1" customWidth="1"/>
    <col min="9" max="10" width="14.28515625" bestFit="1" customWidth="1"/>
    <col min="11" max="11" width="60.85546875" style="23"/>
  </cols>
  <sheetData>
    <row r="1" spans="1:11" s="231" customFormat="1" ht="26.25">
      <c r="A1" s="510" t="s">
        <v>461</v>
      </c>
      <c r="B1" s="511"/>
      <c r="C1" s="511"/>
      <c r="D1" s="511"/>
      <c r="E1" s="511"/>
      <c r="F1" s="511"/>
      <c r="G1" s="511"/>
      <c r="H1" s="512"/>
      <c r="I1" s="230"/>
      <c r="K1" s="275"/>
    </row>
    <row r="2" spans="1:11" s="231" customFormat="1" ht="26.25">
      <c r="A2" s="513" t="s">
        <v>462</v>
      </c>
      <c r="B2" s="513"/>
      <c r="C2" s="513"/>
      <c r="D2" s="513"/>
      <c r="E2" s="513"/>
      <c r="F2" s="513"/>
      <c r="G2" s="513"/>
      <c r="H2" s="514"/>
      <c r="I2" s="230"/>
      <c r="K2" s="275"/>
    </row>
    <row r="3" spans="1:11" ht="15.75">
      <c r="A3" s="490" t="s">
        <v>463</v>
      </c>
      <c r="B3" s="491"/>
      <c r="C3" s="492" t="s">
        <v>191</v>
      </c>
      <c r="D3" s="492"/>
      <c r="E3" s="492"/>
      <c r="F3" s="492"/>
      <c r="G3" s="492"/>
      <c r="H3" s="493"/>
    </row>
    <row r="4" spans="1:11" ht="15.75">
      <c r="A4" s="491" t="s">
        <v>180</v>
      </c>
      <c r="B4" s="491"/>
      <c r="C4" s="492" t="s">
        <v>193</v>
      </c>
      <c r="D4" s="492"/>
      <c r="E4" s="492"/>
      <c r="F4" s="492"/>
      <c r="G4" s="492"/>
      <c r="H4" s="493"/>
    </row>
    <row r="5" spans="1:11" ht="27" customHeight="1">
      <c r="A5" s="504"/>
      <c r="B5" s="505"/>
      <c r="C5" s="505"/>
      <c r="D5" s="505"/>
      <c r="E5" s="505"/>
      <c r="F5" s="505"/>
      <c r="G5" s="505" t="s">
        <v>464</v>
      </c>
      <c r="H5" s="506"/>
    </row>
    <row r="6" spans="1:11" ht="15.75">
      <c r="A6" s="494" t="s">
        <v>465</v>
      </c>
      <c r="B6" s="495"/>
      <c r="C6" s="495"/>
      <c r="D6" s="494" t="s">
        <v>466</v>
      </c>
      <c r="E6" s="495"/>
      <c r="F6" s="496"/>
      <c r="G6" s="502" t="s">
        <v>467</v>
      </c>
      <c r="H6" s="503"/>
    </row>
    <row r="7" spans="1:11" ht="15.75">
      <c r="A7" s="494" t="s">
        <v>468</v>
      </c>
      <c r="B7" s="495"/>
      <c r="C7" s="496"/>
      <c r="D7" s="494" t="s">
        <v>469</v>
      </c>
      <c r="E7" s="496"/>
      <c r="F7" s="497" t="s">
        <v>470</v>
      </c>
      <c r="G7" s="498" t="s">
        <v>471</v>
      </c>
      <c r="H7" s="498" t="s">
        <v>472</v>
      </c>
    </row>
    <row r="8" spans="1:11" ht="47.25">
      <c r="A8" s="234" t="s">
        <v>473</v>
      </c>
      <c r="B8" s="234" t="s">
        <v>474</v>
      </c>
      <c r="C8" s="235" t="s">
        <v>475</v>
      </c>
      <c r="D8" s="234" t="s">
        <v>476</v>
      </c>
      <c r="E8" s="234" t="s">
        <v>477</v>
      </c>
      <c r="F8" s="497"/>
      <c r="G8" s="499"/>
      <c r="H8" s="499"/>
    </row>
    <row r="9" spans="1:11" ht="78.75">
      <c r="A9" s="236">
        <v>12</v>
      </c>
      <c r="B9" s="228" t="s">
        <v>478</v>
      </c>
      <c r="C9" s="228" t="s">
        <v>479</v>
      </c>
      <c r="D9" s="229">
        <v>84380</v>
      </c>
      <c r="E9" s="229">
        <v>60480</v>
      </c>
      <c r="F9" s="240">
        <f>IFERROR(E9/D9*100-100,)</f>
        <v>-28.324247452002851</v>
      </c>
      <c r="G9" s="238"/>
      <c r="H9" s="241"/>
    </row>
    <row r="10" spans="1:11" ht="47.25">
      <c r="A10" s="236">
        <v>6</v>
      </c>
      <c r="B10" s="242" t="s">
        <v>480</v>
      </c>
      <c r="C10" s="228" t="s">
        <v>479</v>
      </c>
      <c r="D10" s="229">
        <v>0</v>
      </c>
      <c r="E10" s="229">
        <v>0</v>
      </c>
      <c r="F10" s="240">
        <f t="shared" ref="F10:F20" si="0">IFERROR(E10/D10*100-100,)</f>
        <v>0</v>
      </c>
      <c r="G10" s="238"/>
      <c r="H10" s="241"/>
    </row>
    <row r="11" spans="1:11" ht="47.25">
      <c r="A11" s="236">
        <v>1</v>
      </c>
      <c r="B11" s="243" t="s">
        <v>481</v>
      </c>
      <c r="C11" s="228" t="s">
        <v>482</v>
      </c>
      <c r="D11" s="229">
        <v>0</v>
      </c>
      <c r="E11" s="229"/>
      <c r="F11" s="240">
        <f t="shared" si="0"/>
        <v>0</v>
      </c>
      <c r="G11" s="238"/>
      <c r="H11" s="241"/>
    </row>
    <row r="12" spans="1:11" ht="63">
      <c r="A12" s="236">
        <v>1</v>
      </c>
      <c r="B12" s="243" t="s">
        <v>483</v>
      </c>
      <c r="C12" s="228" t="s">
        <v>479</v>
      </c>
      <c r="D12" s="229">
        <v>6000</v>
      </c>
      <c r="E12" s="229">
        <v>8000</v>
      </c>
      <c r="F12" s="240">
        <f t="shared" si="0"/>
        <v>33.333333333333314</v>
      </c>
      <c r="G12" s="238"/>
      <c r="H12" s="241"/>
    </row>
    <row r="13" spans="1:11" ht="63">
      <c r="A13" s="236">
        <v>1</v>
      </c>
      <c r="B13" s="243" t="s">
        <v>484</v>
      </c>
      <c r="C13" s="228" t="s">
        <v>485</v>
      </c>
      <c r="D13" s="229">
        <v>1620</v>
      </c>
      <c r="E13" s="229">
        <v>0</v>
      </c>
      <c r="F13" s="240">
        <f t="shared" si="0"/>
        <v>-100</v>
      </c>
      <c r="G13" s="238"/>
      <c r="H13" s="241"/>
    </row>
    <row r="14" spans="1:11" ht="15.75">
      <c r="A14" s="236">
        <v>1</v>
      </c>
      <c r="B14" s="243" t="s">
        <v>486</v>
      </c>
      <c r="C14" s="228" t="s">
        <v>482</v>
      </c>
      <c r="D14" s="229">
        <v>0</v>
      </c>
      <c r="E14" s="229">
        <v>0</v>
      </c>
      <c r="F14" s="240">
        <f t="shared" si="0"/>
        <v>0</v>
      </c>
      <c r="G14" s="238"/>
      <c r="H14" s="241"/>
    </row>
    <row r="15" spans="1:11" ht="63">
      <c r="A15" s="236">
        <v>1</v>
      </c>
      <c r="B15" s="242" t="s">
        <v>487</v>
      </c>
      <c r="C15" s="228" t="s">
        <v>485</v>
      </c>
      <c r="D15" s="229">
        <v>0</v>
      </c>
      <c r="E15" s="229">
        <v>0</v>
      </c>
      <c r="F15" s="240">
        <f t="shared" si="0"/>
        <v>0</v>
      </c>
      <c r="G15" s="238"/>
      <c r="H15" s="241"/>
    </row>
    <row r="16" spans="1:11" ht="63">
      <c r="A16" s="236">
        <v>1</v>
      </c>
      <c r="B16" s="242" t="s">
        <v>488</v>
      </c>
      <c r="C16" s="242" t="s">
        <v>482</v>
      </c>
      <c r="D16" s="263">
        <v>0</v>
      </c>
      <c r="E16" s="263">
        <v>0</v>
      </c>
      <c r="F16" s="240">
        <f t="shared" si="0"/>
        <v>0</v>
      </c>
      <c r="G16" s="9"/>
      <c r="H16" s="241"/>
    </row>
    <row r="17" spans="1:16384" ht="63">
      <c r="A17" s="236">
        <v>1</v>
      </c>
      <c r="B17" s="242" t="s">
        <v>489</v>
      </c>
      <c r="C17" s="242" t="s">
        <v>482</v>
      </c>
      <c r="D17" s="263">
        <v>0</v>
      </c>
      <c r="E17" s="263">
        <v>0</v>
      </c>
      <c r="F17" s="240">
        <f t="shared" si="0"/>
        <v>0</v>
      </c>
      <c r="G17" s="9"/>
      <c r="H17" s="241"/>
    </row>
    <row r="18" spans="1:16384" ht="47.25">
      <c r="A18" s="236">
        <v>1</v>
      </c>
      <c r="B18" s="242" t="s">
        <v>490</v>
      </c>
      <c r="C18" s="228" t="s">
        <v>485</v>
      </c>
      <c r="D18" s="229">
        <v>0</v>
      </c>
      <c r="E18" s="229">
        <v>0</v>
      </c>
      <c r="F18" s="240">
        <f t="shared" si="0"/>
        <v>0</v>
      </c>
      <c r="G18" s="238"/>
      <c r="H18" s="241"/>
    </row>
    <row r="19" spans="1:16384" ht="63">
      <c r="A19" s="236">
        <v>1</v>
      </c>
      <c r="B19" s="242" t="s">
        <v>491</v>
      </c>
      <c r="C19" s="228" t="s">
        <v>485</v>
      </c>
      <c r="D19" s="229">
        <v>0</v>
      </c>
      <c r="E19" s="229">
        <v>0</v>
      </c>
      <c r="F19" s="240">
        <f t="shared" si="0"/>
        <v>0</v>
      </c>
      <c r="G19" s="238"/>
      <c r="H19" s="241"/>
    </row>
    <row r="20" spans="1:16384" ht="47.25">
      <c r="A20" s="236">
        <v>1</v>
      </c>
      <c r="B20" s="243" t="s">
        <v>492</v>
      </c>
      <c r="C20" s="228" t="s">
        <v>479</v>
      </c>
      <c r="D20" s="229"/>
      <c r="E20" s="229">
        <v>0</v>
      </c>
      <c r="F20" s="240">
        <f t="shared" si="0"/>
        <v>0</v>
      </c>
      <c r="G20" s="238"/>
      <c r="H20" s="241"/>
    </row>
    <row r="21" spans="1:16384" ht="15.75">
      <c r="A21" s="501" t="s">
        <v>386</v>
      </c>
      <c r="B21" s="501"/>
      <c r="C21" s="501"/>
      <c r="D21" s="272">
        <f>SUM(D9:D20)</f>
        <v>92000</v>
      </c>
      <c r="E21" s="272">
        <f>SUM(E9:E20)</f>
        <v>68480</v>
      </c>
      <c r="F21" s="273">
        <f>SUM(F9:F20)</f>
        <v>-94.990914118669536</v>
      </c>
      <c r="G21" s="272">
        <f>SUM(G9:G20)</f>
        <v>0</v>
      </c>
      <c r="H21" s="274">
        <f t="shared" ref="H21" si="1">IFERROR(G21/E21*100,)</f>
        <v>0</v>
      </c>
      <c r="I21" s="260"/>
      <c r="J21" s="260"/>
      <c r="L21" s="28"/>
    </row>
    <row r="22" spans="1:16384" customFormat="1" ht="27" customHeight="1">
      <c r="A22" s="516"/>
      <c r="B22" s="505"/>
      <c r="C22" s="505"/>
      <c r="D22" s="505"/>
      <c r="E22" s="505"/>
      <c r="F22" s="505"/>
      <c r="G22" s="505"/>
      <c r="H22" s="506"/>
      <c r="I22" s="280"/>
      <c r="J22" s="280"/>
      <c r="K22" s="280"/>
      <c r="L22" s="280"/>
      <c r="M22" s="280"/>
      <c r="N22" s="280"/>
      <c r="O22" s="280"/>
      <c r="P22" s="280"/>
      <c r="Q22" s="515"/>
      <c r="R22" s="515"/>
      <c r="S22" s="515"/>
      <c r="T22" s="515"/>
      <c r="U22" s="515"/>
      <c r="V22" s="515"/>
      <c r="W22" s="515"/>
      <c r="X22" s="515"/>
      <c r="Y22" s="515"/>
      <c r="Z22" s="515"/>
      <c r="AA22" s="515"/>
      <c r="AB22" s="515"/>
      <c r="AC22" s="515"/>
      <c r="AD22" s="515"/>
      <c r="AE22" s="515"/>
      <c r="AF22" s="515"/>
      <c r="AG22" s="515"/>
      <c r="AH22" s="515"/>
      <c r="AI22" s="515"/>
      <c r="AJ22" s="515"/>
      <c r="AK22" s="515"/>
      <c r="AL22" s="515"/>
      <c r="AM22" s="515"/>
      <c r="AN22" s="515"/>
      <c r="AO22" s="515"/>
      <c r="AP22" s="515"/>
      <c r="AQ22" s="515"/>
      <c r="AR22" s="515"/>
      <c r="AS22" s="515"/>
      <c r="AT22" s="515"/>
      <c r="AU22" s="515"/>
      <c r="AV22" s="515"/>
      <c r="AW22" s="515"/>
      <c r="AX22" s="515"/>
      <c r="AY22" s="515"/>
      <c r="AZ22" s="515"/>
      <c r="BA22" s="515"/>
      <c r="BB22" s="515"/>
      <c r="BC22" s="515"/>
      <c r="BD22" s="515"/>
      <c r="BE22" s="515"/>
      <c r="BF22" s="515"/>
      <c r="BG22" s="515"/>
      <c r="BH22" s="515"/>
      <c r="BI22" s="515"/>
      <c r="BJ22" s="515"/>
      <c r="BK22" s="515"/>
      <c r="BL22" s="515"/>
      <c r="BM22" s="515"/>
      <c r="BN22" s="515"/>
      <c r="BO22" s="515"/>
      <c r="BP22" s="515"/>
      <c r="BQ22" s="515"/>
      <c r="BR22" s="515"/>
      <c r="BS22" s="515"/>
      <c r="BT22" s="515"/>
      <c r="BU22" s="515"/>
      <c r="BV22" s="515"/>
      <c r="BW22" s="515"/>
      <c r="BX22" s="515"/>
      <c r="BY22" s="515"/>
      <c r="BZ22" s="515"/>
      <c r="CA22" s="515"/>
      <c r="CB22" s="515"/>
      <c r="CC22" s="515"/>
      <c r="CD22" s="515"/>
      <c r="CE22" s="515"/>
      <c r="CF22" s="515"/>
      <c r="CG22" s="515"/>
      <c r="CH22" s="515"/>
      <c r="CI22" s="515"/>
      <c r="CJ22" s="515"/>
      <c r="CK22" s="515"/>
      <c r="CL22" s="515"/>
      <c r="CM22" s="515"/>
      <c r="CN22" s="515"/>
      <c r="CO22" s="515"/>
      <c r="CP22" s="515"/>
      <c r="CQ22" s="515"/>
      <c r="CR22" s="515"/>
      <c r="CS22" s="515"/>
      <c r="CT22" s="515"/>
      <c r="CU22" s="515"/>
      <c r="CV22" s="515"/>
      <c r="CW22" s="515"/>
      <c r="CX22" s="515"/>
      <c r="CY22" s="515"/>
      <c r="CZ22" s="515"/>
      <c r="DA22" s="515"/>
      <c r="DB22" s="515"/>
      <c r="DC22" s="515"/>
      <c r="DD22" s="515"/>
      <c r="DE22" s="515"/>
      <c r="DF22" s="515"/>
      <c r="DG22" s="515"/>
      <c r="DH22" s="515"/>
      <c r="DI22" s="515"/>
      <c r="DJ22" s="515"/>
      <c r="DK22" s="515"/>
      <c r="DL22" s="515"/>
      <c r="DM22" s="515"/>
      <c r="DN22" s="515"/>
      <c r="DO22" s="515"/>
      <c r="DP22" s="515"/>
      <c r="DQ22" s="515"/>
      <c r="DR22" s="515"/>
      <c r="DS22" s="515"/>
      <c r="DT22" s="515"/>
      <c r="DU22" s="515"/>
      <c r="DV22" s="515"/>
      <c r="DW22" s="515"/>
      <c r="DX22" s="515"/>
      <c r="DY22" s="515"/>
      <c r="DZ22" s="515"/>
      <c r="EA22" s="515"/>
      <c r="EB22" s="515"/>
      <c r="EC22" s="515"/>
      <c r="ED22" s="515"/>
      <c r="EE22" s="515"/>
      <c r="EF22" s="515"/>
      <c r="EG22" s="515"/>
      <c r="EH22" s="515"/>
      <c r="EI22" s="515"/>
      <c r="EJ22" s="515"/>
      <c r="EK22" s="515"/>
      <c r="EL22" s="515"/>
      <c r="EM22" s="515"/>
      <c r="EN22" s="515"/>
      <c r="EO22" s="515"/>
      <c r="EP22" s="515"/>
      <c r="EQ22" s="515"/>
      <c r="ER22" s="515"/>
      <c r="ES22" s="515"/>
      <c r="ET22" s="515"/>
      <c r="EU22" s="515"/>
      <c r="EV22" s="515"/>
      <c r="EW22" s="515"/>
      <c r="EX22" s="515"/>
      <c r="EY22" s="515"/>
      <c r="EZ22" s="515"/>
      <c r="FA22" s="515"/>
      <c r="FB22" s="515"/>
      <c r="FC22" s="515"/>
      <c r="FD22" s="515"/>
      <c r="FE22" s="515"/>
      <c r="FF22" s="515"/>
      <c r="FG22" s="515"/>
      <c r="FH22" s="515"/>
      <c r="FI22" s="515"/>
      <c r="FJ22" s="515"/>
      <c r="FK22" s="515"/>
      <c r="FL22" s="515"/>
      <c r="FM22" s="515"/>
      <c r="FN22" s="515"/>
      <c r="FO22" s="515"/>
      <c r="FP22" s="515"/>
      <c r="FQ22" s="515"/>
      <c r="FR22" s="515"/>
      <c r="FS22" s="515"/>
      <c r="FT22" s="515"/>
      <c r="FU22" s="515"/>
      <c r="FV22" s="515"/>
      <c r="FW22" s="515"/>
      <c r="FX22" s="515"/>
      <c r="FY22" s="515"/>
      <c r="FZ22" s="515"/>
      <c r="GA22" s="515"/>
      <c r="GB22" s="515"/>
      <c r="GC22" s="515"/>
      <c r="GD22" s="515"/>
      <c r="GE22" s="515"/>
      <c r="GF22" s="515"/>
      <c r="GG22" s="515"/>
      <c r="GH22" s="515"/>
      <c r="GI22" s="515"/>
      <c r="GJ22" s="515"/>
      <c r="GK22" s="515"/>
      <c r="GL22" s="515"/>
      <c r="GM22" s="515"/>
      <c r="GN22" s="515"/>
      <c r="GO22" s="515"/>
      <c r="GP22" s="515"/>
      <c r="GQ22" s="515"/>
      <c r="GR22" s="515"/>
      <c r="GS22" s="515"/>
      <c r="GT22" s="515"/>
      <c r="GU22" s="515"/>
      <c r="GV22" s="515"/>
      <c r="GW22" s="515"/>
      <c r="GX22" s="515"/>
      <c r="GY22" s="515"/>
      <c r="GZ22" s="515"/>
      <c r="HA22" s="515"/>
      <c r="HB22" s="515"/>
      <c r="HC22" s="515"/>
      <c r="HD22" s="515"/>
      <c r="HE22" s="515"/>
      <c r="HF22" s="515"/>
      <c r="HG22" s="515"/>
      <c r="HH22" s="515"/>
      <c r="HI22" s="515"/>
      <c r="HJ22" s="515"/>
      <c r="HK22" s="515"/>
      <c r="HL22" s="515"/>
      <c r="HM22" s="515"/>
      <c r="HN22" s="515"/>
      <c r="HO22" s="515"/>
      <c r="HP22" s="515"/>
      <c r="HQ22" s="515"/>
      <c r="HR22" s="515"/>
      <c r="HS22" s="515"/>
      <c r="HT22" s="515"/>
      <c r="HU22" s="515"/>
      <c r="HV22" s="515"/>
      <c r="HW22" s="515"/>
      <c r="HX22" s="515"/>
      <c r="HY22" s="515"/>
      <c r="HZ22" s="515"/>
      <c r="IA22" s="515"/>
      <c r="IB22" s="515"/>
      <c r="IC22" s="515"/>
      <c r="ID22" s="515"/>
      <c r="IE22" s="515"/>
      <c r="IF22" s="515"/>
      <c r="IG22" s="515"/>
      <c r="IH22" s="515"/>
      <c r="II22" s="515"/>
      <c r="IJ22" s="515"/>
      <c r="IK22" s="515"/>
      <c r="IL22" s="515"/>
      <c r="IM22" s="515"/>
      <c r="IN22" s="515"/>
      <c r="IO22" s="515"/>
      <c r="IP22" s="515"/>
      <c r="IQ22" s="515"/>
      <c r="IR22" s="515"/>
      <c r="IS22" s="515"/>
      <c r="IT22" s="515"/>
      <c r="IU22" s="515"/>
      <c r="IV22" s="515"/>
      <c r="IW22" s="515"/>
      <c r="IX22" s="515"/>
      <c r="IY22" s="515"/>
      <c r="IZ22" s="515"/>
      <c r="JA22" s="515"/>
      <c r="JB22" s="515"/>
      <c r="JC22" s="515"/>
      <c r="JD22" s="515"/>
      <c r="JE22" s="515"/>
      <c r="JF22" s="515"/>
      <c r="JG22" s="515"/>
      <c r="JH22" s="515"/>
      <c r="JI22" s="515"/>
      <c r="JJ22" s="515"/>
      <c r="JK22" s="515"/>
      <c r="JL22" s="515"/>
      <c r="JM22" s="515"/>
      <c r="JN22" s="515"/>
      <c r="JO22" s="515"/>
      <c r="JP22" s="515"/>
      <c r="JQ22" s="515"/>
      <c r="JR22" s="515"/>
      <c r="JS22" s="515"/>
      <c r="JT22" s="515"/>
      <c r="JU22" s="515"/>
      <c r="JV22" s="515"/>
      <c r="JW22" s="515"/>
      <c r="JX22" s="515"/>
      <c r="JY22" s="515"/>
      <c r="JZ22" s="515"/>
      <c r="KA22" s="515"/>
      <c r="KB22" s="515"/>
      <c r="KC22" s="515"/>
      <c r="KD22" s="515"/>
      <c r="KE22" s="515"/>
      <c r="KF22" s="515"/>
      <c r="KG22" s="515"/>
      <c r="KH22" s="515"/>
      <c r="KI22" s="515"/>
      <c r="KJ22" s="515"/>
      <c r="KK22" s="515"/>
      <c r="KL22" s="515"/>
      <c r="KM22" s="515"/>
      <c r="KN22" s="515"/>
      <c r="KO22" s="515"/>
      <c r="KP22" s="515"/>
      <c r="KQ22" s="515"/>
      <c r="KR22" s="515"/>
      <c r="KS22" s="515"/>
      <c r="KT22" s="515"/>
      <c r="KU22" s="515"/>
      <c r="KV22" s="515"/>
      <c r="KW22" s="515"/>
      <c r="KX22" s="515"/>
      <c r="KY22" s="515"/>
      <c r="KZ22" s="515"/>
      <c r="LA22" s="515"/>
      <c r="LB22" s="515"/>
      <c r="LC22" s="515"/>
      <c r="LD22" s="515"/>
      <c r="LE22" s="515"/>
      <c r="LF22" s="515"/>
      <c r="LG22" s="515"/>
      <c r="LH22" s="515"/>
      <c r="LI22" s="515"/>
      <c r="LJ22" s="515"/>
      <c r="LK22" s="515"/>
      <c r="LL22" s="515"/>
      <c r="LM22" s="515"/>
      <c r="LN22" s="515"/>
      <c r="LO22" s="515"/>
      <c r="LP22" s="515"/>
      <c r="LQ22" s="515"/>
      <c r="LR22" s="515"/>
      <c r="LS22" s="515"/>
      <c r="LT22" s="515"/>
      <c r="LU22" s="515"/>
      <c r="LV22" s="515"/>
      <c r="LW22" s="515"/>
      <c r="LX22" s="515"/>
      <c r="LY22" s="515"/>
      <c r="LZ22" s="515"/>
      <c r="MA22" s="515"/>
      <c r="MB22" s="515"/>
      <c r="MC22" s="515"/>
      <c r="MD22" s="515"/>
      <c r="ME22" s="515"/>
      <c r="MF22" s="515"/>
      <c r="MG22" s="515"/>
      <c r="MH22" s="515"/>
      <c r="MI22" s="515"/>
      <c r="MJ22" s="515"/>
      <c r="MK22" s="515"/>
      <c r="ML22" s="515"/>
      <c r="MM22" s="515"/>
      <c r="MN22" s="515"/>
      <c r="MO22" s="515"/>
      <c r="MP22" s="515"/>
      <c r="MQ22" s="515"/>
      <c r="MR22" s="515"/>
      <c r="MS22" s="515"/>
      <c r="MT22" s="515"/>
      <c r="MU22" s="515"/>
      <c r="MV22" s="515"/>
      <c r="MW22" s="515"/>
      <c r="MX22" s="515"/>
      <c r="MY22" s="515"/>
      <c r="MZ22" s="515"/>
      <c r="NA22" s="515"/>
      <c r="NB22" s="515"/>
      <c r="NC22" s="515"/>
      <c r="ND22" s="515"/>
      <c r="NE22" s="515"/>
      <c r="NF22" s="515"/>
      <c r="NG22" s="515"/>
      <c r="NH22" s="515"/>
      <c r="NI22" s="515"/>
      <c r="NJ22" s="515"/>
      <c r="NK22" s="515"/>
      <c r="NL22" s="515"/>
      <c r="NM22" s="515"/>
      <c r="NN22" s="515"/>
      <c r="NO22" s="515"/>
      <c r="NP22" s="515"/>
      <c r="NQ22" s="515"/>
      <c r="NR22" s="515"/>
      <c r="NS22" s="515"/>
      <c r="NT22" s="515"/>
      <c r="NU22" s="515"/>
      <c r="NV22" s="515"/>
      <c r="NW22" s="515"/>
      <c r="NX22" s="515"/>
      <c r="NY22" s="515"/>
      <c r="NZ22" s="515"/>
      <c r="OA22" s="515"/>
      <c r="OB22" s="515"/>
      <c r="OC22" s="515"/>
      <c r="OD22" s="515"/>
      <c r="OE22" s="515"/>
      <c r="OF22" s="515"/>
      <c r="OG22" s="515"/>
      <c r="OH22" s="515"/>
      <c r="OI22" s="515"/>
      <c r="OJ22" s="515"/>
      <c r="OK22" s="515"/>
      <c r="OL22" s="515"/>
      <c r="OM22" s="515"/>
      <c r="ON22" s="515"/>
      <c r="OO22" s="515"/>
      <c r="OP22" s="515"/>
      <c r="OQ22" s="515"/>
      <c r="OR22" s="515"/>
      <c r="OS22" s="515"/>
      <c r="OT22" s="515"/>
      <c r="OU22" s="515"/>
      <c r="OV22" s="515"/>
      <c r="OW22" s="515"/>
      <c r="OX22" s="515"/>
      <c r="OY22" s="515"/>
      <c r="OZ22" s="515"/>
      <c r="PA22" s="515"/>
      <c r="PB22" s="515"/>
      <c r="PC22" s="515"/>
      <c r="PD22" s="515"/>
      <c r="PE22" s="515"/>
      <c r="PF22" s="515"/>
      <c r="PG22" s="515"/>
      <c r="PH22" s="515"/>
      <c r="PI22" s="515"/>
      <c r="PJ22" s="515"/>
      <c r="PK22" s="515"/>
      <c r="PL22" s="515"/>
      <c r="PM22" s="515"/>
      <c r="PN22" s="515"/>
      <c r="PO22" s="515"/>
      <c r="PP22" s="515"/>
      <c r="PQ22" s="515"/>
      <c r="PR22" s="515"/>
      <c r="PS22" s="515"/>
      <c r="PT22" s="515"/>
      <c r="PU22" s="515"/>
      <c r="PV22" s="515"/>
      <c r="PW22" s="515"/>
      <c r="PX22" s="515"/>
      <c r="PY22" s="515"/>
      <c r="PZ22" s="515"/>
      <c r="QA22" s="515"/>
      <c r="QB22" s="515"/>
      <c r="QC22" s="515"/>
      <c r="QD22" s="515"/>
      <c r="QE22" s="515"/>
      <c r="QF22" s="515"/>
      <c r="QG22" s="515"/>
      <c r="QH22" s="515"/>
      <c r="QI22" s="515"/>
      <c r="QJ22" s="515"/>
      <c r="QK22" s="515"/>
      <c r="QL22" s="515"/>
      <c r="QM22" s="515"/>
      <c r="QN22" s="515"/>
      <c r="QO22" s="515"/>
      <c r="QP22" s="515"/>
      <c r="QQ22" s="515"/>
      <c r="QR22" s="515"/>
      <c r="QS22" s="515"/>
      <c r="QT22" s="515"/>
      <c r="QU22" s="515"/>
      <c r="QV22" s="515"/>
      <c r="QW22" s="515"/>
      <c r="QX22" s="515"/>
      <c r="QY22" s="515"/>
      <c r="QZ22" s="515"/>
      <c r="RA22" s="515"/>
      <c r="RB22" s="515"/>
      <c r="RC22" s="515"/>
      <c r="RD22" s="515"/>
      <c r="RE22" s="515"/>
      <c r="RF22" s="515"/>
      <c r="RG22" s="515"/>
      <c r="RH22" s="515"/>
      <c r="RI22" s="515"/>
      <c r="RJ22" s="515"/>
      <c r="RK22" s="515"/>
      <c r="RL22" s="515"/>
      <c r="RM22" s="515"/>
      <c r="RN22" s="515"/>
      <c r="RO22" s="515"/>
      <c r="RP22" s="515"/>
      <c r="RQ22" s="515"/>
      <c r="RR22" s="515"/>
      <c r="RS22" s="515"/>
      <c r="RT22" s="515"/>
      <c r="RU22" s="515"/>
      <c r="RV22" s="515"/>
      <c r="RW22" s="515"/>
      <c r="RX22" s="515"/>
      <c r="RY22" s="515"/>
      <c r="RZ22" s="515"/>
      <c r="SA22" s="515"/>
      <c r="SB22" s="515"/>
      <c r="SC22" s="515"/>
      <c r="SD22" s="515"/>
      <c r="SE22" s="515"/>
      <c r="SF22" s="515"/>
      <c r="SG22" s="515"/>
      <c r="SH22" s="515"/>
      <c r="SI22" s="515"/>
      <c r="SJ22" s="515"/>
      <c r="SK22" s="515"/>
      <c r="SL22" s="515"/>
      <c r="SM22" s="515"/>
      <c r="SN22" s="515"/>
      <c r="SO22" s="515"/>
      <c r="SP22" s="515"/>
      <c r="SQ22" s="515"/>
      <c r="SR22" s="515"/>
      <c r="SS22" s="515"/>
      <c r="ST22" s="515"/>
      <c r="SU22" s="515"/>
      <c r="SV22" s="515"/>
      <c r="SW22" s="515"/>
      <c r="SX22" s="515"/>
      <c r="SY22" s="515"/>
      <c r="SZ22" s="515"/>
      <c r="TA22" s="515"/>
      <c r="TB22" s="515"/>
      <c r="TC22" s="515"/>
      <c r="TD22" s="515"/>
      <c r="TE22" s="515"/>
      <c r="TF22" s="515"/>
      <c r="TG22" s="515"/>
      <c r="TH22" s="515"/>
      <c r="TI22" s="515"/>
      <c r="TJ22" s="515"/>
      <c r="TK22" s="515"/>
      <c r="TL22" s="515"/>
      <c r="TM22" s="515"/>
      <c r="TN22" s="515"/>
      <c r="TO22" s="515"/>
      <c r="TP22" s="515"/>
      <c r="TQ22" s="515"/>
      <c r="TR22" s="515"/>
      <c r="TS22" s="515"/>
      <c r="TT22" s="515"/>
      <c r="TU22" s="515"/>
      <c r="TV22" s="515"/>
      <c r="TW22" s="515"/>
      <c r="TX22" s="515"/>
      <c r="TY22" s="515"/>
      <c r="TZ22" s="515"/>
      <c r="UA22" s="515"/>
      <c r="UB22" s="515"/>
      <c r="UC22" s="515"/>
      <c r="UD22" s="515"/>
      <c r="UE22" s="515"/>
      <c r="UF22" s="515"/>
      <c r="UG22" s="515"/>
      <c r="UH22" s="515"/>
      <c r="UI22" s="515"/>
      <c r="UJ22" s="515"/>
      <c r="UK22" s="515"/>
      <c r="UL22" s="515"/>
      <c r="UM22" s="515"/>
      <c r="UN22" s="515"/>
      <c r="UO22" s="515"/>
      <c r="UP22" s="515"/>
      <c r="UQ22" s="515"/>
      <c r="UR22" s="515"/>
      <c r="US22" s="515"/>
      <c r="UT22" s="515"/>
      <c r="UU22" s="515"/>
      <c r="UV22" s="515"/>
      <c r="UW22" s="515"/>
      <c r="UX22" s="515"/>
      <c r="UY22" s="515"/>
      <c r="UZ22" s="515"/>
      <c r="VA22" s="515"/>
      <c r="VB22" s="515"/>
      <c r="VC22" s="515"/>
      <c r="VD22" s="515"/>
      <c r="VE22" s="515"/>
      <c r="VF22" s="515"/>
      <c r="VG22" s="515"/>
      <c r="VH22" s="515"/>
      <c r="VI22" s="515"/>
      <c r="VJ22" s="515"/>
      <c r="VK22" s="515"/>
      <c r="VL22" s="515"/>
      <c r="VM22" s="515"/>
      <c r="VN22" s="515"/>
      <c r="VO22" s="515"/>
      <c r="VP22" s="515"/>
      <c r="VQ22" s="515"/>
      <c r="VR22" s="515"/>
      <c r="VS22" s="515"/>
      <c r="VT22" s="515"/>
      <c r="VU22" s="515"/>
      <c r="VV22" s="515"/>
      <c r="VW22" s="515"/>
      <c r="VX22" s="515"/>
      <c r="VY22" s="515"/>
      <c r="VZ22" s="515"/>
      <c r="WA22" s="515"/>
      <c r="WB22" s="515"/>
      <c r="WC22" s="515"/>
      <c r="WD22" s="515"/>
      <c r="WE22" s="515"/>
      <c r="WF22" s="515"/>
      <c r="WG22" s="515"/>
      <c r="WH22" s="515"/>
      <c r="WI22" s="515"/>
      <c r="WJ22" s="515"/>
      <c r="WK22" s="515"/>
      <c r="WL22" s="515"/>
      <c r="WM22" s="515"/>
      <c r="WN22" s="515"/>
      <c r="WO22" s="515"/>
      <c r="WP22" s="515"/>
      <c r="WQ22" s="515"/>
      <c r="WR22" s="515"/>
      <c r="WS22" s="515"/>
      <c r="WT22" s="515"/>
      <c r="WU22" s="515"/>
      <c r="WV22" s="515"/>
      <c r="WW22" s="515"/>
      <c r="WX22" s="515"/>
      <c r="WY22" s="515"/>
      <c r="WZ22" s="515"/>
      <c r="XA22" s="515"/>
      <c r="XB22" s="515"/>
      <c r="XC22" s="515"/>
      <c r="XD22" s="515"/>
      <c r="XE22" s="515"/>
      <c r="XF22" s="515"/>
      <c r="XG22" s="515"/>
      <c r="XH22" s="515"/>
      <c r="XI22" s="515"/>
      <c r="XJ22" s="515"/>
      <c r="XK22" s="515"/>
      <c r="XL22" s="515"/>
      <c r="XM22" s="515"/>
      <c r="XN22" s="515"/>
      <c r="XO22" s="515"/>
      <c r="XP22" s="515"/>
      <c r="XQ22" s="515"/>
      <c r="XR22" s="515"/>
      <c r="XS22" s="515"/>
      <c r="XT22" s="515"/>
      <c r="XU22" s="515"/>
      <c r="XV22" s="515"/>
      <c r="XW22" s="515"/>
      <c r="XX22" s="515"/>
      <c r="XY22" s="515"/>
      <c r="XZ22" s="515"/>
      <c r="YA22" s="515"/>
      <c r="YB22" s="515"/>
      <c r="YC22" s="515"/>
      <c r="YD22" s="515"/>
      <c r="YE22" s="515"/>
      <c r="YF22" s="515"/>
      <c r="YG22" s="515"/>
      <c r="YH22" s="515"/>
      <c r="YI22" s="515"/>
      <c r="YJ22" s="515"/>
      <c r="YK22" s="515"/>
      <c r="YL22" s="515"/>
      <c r="YM22" s="515"/>
      <c r="YN22" s="515"/>
      <c r="YO22" s="515"/>
      <c r="YP22" s="515"/>
      <c r="YQ22" s="515"/>
      <c r="YR22" s="515"/>
      <c r="YS22" s="515"/>
      <c r="YT22" s="515"/>
      <c r="YU22" s="515"/>
      <c r="YV22" s="515"/>
      <c r="YW22" s="515"/>
      <c r="YX22" s="515"/>
      <c r="YY22" s="515"/>
      <c r="YZ22" s="515"/>
      <c r="ZA22" s="515"/>
      <c r="ZB22" s="515"/>
      <c r="ZC22" s="515"/>
      <c r="ZD22" s="515"/>
      <c r="ZE22" s="515"/>
      <c r="ZF22" s="515"/>
      <c r="ZG22" s="515"/>
      <c r="ZH22" s="515"/>
      <c r="ZI22" s="515"/>
      <c r="ZJ22" s="515"/>
      <c r="ZK22" s="515"/>
      <c r="ZL22" s="515"/>
      <c r="ZM22" s="515"/>
      <c r="ZN22" s="515"/>
      <c r="ZO22" s="515"/>
      <c r="ZP22" s="515"/>
      <c r="ZQ22" s="515"/>
      <c r="ZR22" s="515"/>
      <c r="ZS22" s="515"/>
      <c r="ZT22" s="515"/>
      <c r="ZU22" s="515"/>
      <c r="ZV22" s="515"/>
      <c r="ZW22" s="515"/>
      <c r="ZX22" s="515"/>
      <c r="ZY22" s="515"/>
      <c r="ZZ22" s="515"/>
      <c r="AAA22" s="515"/>
      <c r="AAB22" s="515"/>
      <c r="AAC22" s="515"/>
      <c r="AAD22" s="515"/>
      <c r="AAE22" s="515"/>
      <c r="AAF22" s="515"/>
      <c r="AAG22" s="515"/>
      <c r="AAH22" s="515"/>
      <c r="AAI22" s="515"/>
      <c r="AAJ22" s="515"/>
      <c r="AAK22" s="515"/>
      <c r="AAL22" s="515"/>
      <c r="AAM22" s="515"/>
      <c r="AAN22" s="515"/>
      <c r="AAO22" s="515"/>
      <c r="AAP22" s="515"/>
      <c r="AAQ22" s="515"/>
      <c r="AAR22" s="515"/>
      <c r="AAS22" s="515"/>
      <c r="AAT22" s="515"/>
      <c r="AAU22" s="515"/>
      <c r="AAV22" s="515"/>
      <c r="AAW22" s="515"/>
      <c r="AAX22" s="515"/>
      <c r="AAY22" s="515"/>
      <c r="AAZ22" s="515"/>
      <c r="ABA22" s="515"/>
      <c r="ABB22" s="515"/>
      <c r="ABC22" s="515"/>
      <c r="ABD22" s="515"/>
      <c r="ABE22" s="515"/>
      <c r="ABF22" s="515"/>
      <c r="ABG22" s="515"/>
      <c r="ABH22" s="515"/>
      <c r="ABI22" s="515"/>
      <c r="ABJ22" s="515"/>
      <c r="ABK22" s="515"/>
      <c r="ABL22" s="515"/>
      <c r="ABM22" s="515"/>
      <c r="ABN22" s="515"/>
      <c r="ABO22" s="515"/>
      <c r="ABP22" s="515"/>
      <c r="ABQ22" s="515"/>
      <c r="ABR22" s="515"/>
      <c r="ABS22" s="515"/>
      <c r="ABT22" s="515"/>
      <c r="ABU22" s="515"/>
      <c r="ABV22" s="515"/>
      <c r="ABW22" s="515"/>
      <c r="ABX22" s="515"/>
      <c r="ABY22" s="515"/>
      <c r="ABZ22" s="515"/>
      <c r="ACA22" s="515"/>
      <c r="ACB22" s="515"/>
      <c r="ACC22" s="515"/>
      <c r="ACD22" s="515"/>
      <c r="ACE22" s="515"/>
      <c r="ACF22" s="515"/>
      <c r="ACG22" s="515"/>
      <c r="ACH22" s="515"/>
      <c r="ACI22" s="515"/>
      <c r="ACJ22" s="515"/>
      <c r="ACK22" s="515"/>
      <c r="ACL22" s="515"/>
      <c r="ACM22" s="515"/>
      <c r="ACN22" s="515"/>
      <c r="ACO22" s="515"/>
      <c r="ACP22" s="515"/>
      <c r="ACQ22" s="515"/>
      <c r="ACR22" s="515"/>
      <c r="ACS22" s="515"/>
      <c r="ACT22" s="515"/>
      <c r="ACU22" s="515"/>
      <c r="ACV22" s="515"/>
      <c r="ACW22" s="515"/>
      <c r="ACX22" s="515"/>
      <c r="ACY22" s="515"/>
      <c r="ACZ22" s="515"/>
      <c r="ADA22" s="515"/>
      <c r="ADB22" s="515"/>
      <c r="ADC22" s="515"/>
      <c r="ADD22" s="515"/>
      <c r="ADE22" s="515"/>
      <c r="ADF22" s="515"/>
      <c r="ADG22" s="515"/>
      <c r="ADH22" s="515"/>
      <c r="ADI22" s="515"/>
      <c r="ADJ22" s="515"/>
      <c r="ADK22" s="515"/>
      <c r="ADL22" s="515"/>
      <c r="ADM22" s="515"/>
      <c r="ADN22" s="515"/>
      <c r="ADO22" s="515"/>
      <c r="ADP22" s="515"/>
      <c r="ADQ22" s="515"/>
      <c r="ADR22" s="515"/>
      <c r="ADS22" s="515"/>
      <c r="ADT22" s="515"/>
      <c r="ADU22" s="515"/>
      <c r="ADV22" s="515"/>
      <c r="ADW22" s="515"/>
      <c r="ADX22" s="515"/>
      <c r="ADY22" s="515"/>
      <c r="ADZ22" s="515"/>
      <c r="AEA22" s="515"/>
      <c r="AEB22" s="515"/>
      <c r="AEC22" s="515"/>
      <c r="AED22" s="515"/>
      <c r="AEE22" s="515"/>
      <c r="AEF22" s="515"/>
      <c r="AEG22" s="515"/>
      <c r="AEH22" s="515"/>
      <c r="AEI22" s="515"/>
      <c r="AEJ22" s="515"/>
      <c r="AEK22" s="515"/>
      <c r="AEL22" s="515"/>
      <c r="AEM22" s="515"/>
      <c r="AEN22" s="515"/>
      <c r="AEO22" s="515"/>
      <c r="AEP22" s="515"/>
      <c r="AEQ22" s="515"/>
      <c r="AER22" s="515"/>
      <c r="AES22" s="515"/>
      <c r="AET22" s="515"/>
      <c r="AEU22" s="515"/>
      <c r="AEV22" s="515"/>
      <c r="AEW22" s="515"/>
      <c r="AEX22" s="515"/>
      <c r="AEY22" s="515"/>
      <c r="AEZ22" s="515"/>
      <c r="AFA22" s="515"/>
      <c r="AFB22" s="515"/>
      <c r="AFC22" s="515"/>
      <c r="AFD22" s="515"/>
      <c r="AFE22" s="515"/>
      <c r="AFF22" s="515"/>
      <c r="AFG22" s="515"/>
      <c r="AFH22" s="515"/>
      <c r="AFI22" s="515"/>
      <c r="AFJ22" s="515"/>
      <c r="AFK22" s="515"/>
      <c r="AFL22" s="515"/>
      <c r="AFM22" s="515"/>
      <c r="AFN22" s="515"/>
      <c r="AFO22" s="515"/>
      <c r="AFP22" s="515"/>
      <c r="AFQ22" s="515"/>
      <c r="AFR22" s="515"/>
      <c r="AFS22" s="515"/>
      <c r="AFT22" s="515"/>
      <c r="AFU22" s="515"/>
      <c r="AFV22" s="515"/>
      <c r="AFW22" s="515"/>
      <c r="AFX22" s="515"/>
      <c r="AFY22" s="515"/>
      <c r="AFZ22" s="515"/>
      <c r="AGA22" s="515"/>
      <c r="AGB22" s="515"/>
      <c r="AGC22" s="515"/>
      <c r="AGD22" s="515"/>
      <c r="AGE22" s="515"/>
      <c r="AGF22" s="515"/>
      <c r="AGG22" s="515"/>
      <c r="AGH22" s="515"/>
      <c r="AGI22" s="515"/>
      <c r="AGJ22" s="515"/>
      <c r="AGK22" s="515"/>
      <c r="AGL22" s="515"/>
      <c r="AGM22" s="515"/>
      <c r="AGN22" s="515"/>
      <c r="AGO22" s="515"/>
      <c r="AGP22" s="515"/>
      <c r="AGQ22" s="515"/>
      <c r="AGR22" s="515"/>
      <c r="AGS22" s="515"/>
      <c r="AGT22" s="515"/>
      <c r="AGU22" s="515"/>
      <c r="AGV22" s="515"/>
      <c r="AGW22" s="515"/>
      <c r="AGX22" s="515"/>
      <c r="AGY22" s="515"/>
      <c r="AGZ22" s="515"/>
      <c r="AHA22" s="515"/>
      <c r="AHB22" s="515"/>
      <c r="AHC22" s="515"/>
      <c r="AHD22" s="515"/>
      <c r="AHE22" s="515"/>
      <c r="AHF22" s="515"/>
      <c r="AHG22" s="515"/>
      <c r="AHH22" s="515"/>
      <c r="AHI22" s="515"/>
      <c r="AHJ22" s="515"/>
      <c r="AHK22" s="515"/>
      <c r="AHL22" s="515"/>
      <c r="AHM22" s="515"/>
      <c r="AHN22" s="515"/>
      <c r="AHO22" s="515"/>
      <c r="AHP22" s="515"/>
      <c r="AHQ22" s="515"/>
      <c r="AHR22" s="515"/>
      <c r="AHS22" s="515"/>
      <c r="AHT22" s="515"/>
      <c r="AHU22" s="515"/>
      <c r="AHV22" s="515"/>
      <c r="AHW22" s="515"/>
      <c r="AHX22" s="515"/>
      <c r="AHY22" s="515"/>
      <c r="AHZ22" s="515"/>
      <c r="AIA22" s="515"/>
      <c r="AIB22" s="515"/>
      <c r="AIC22" s="515"/>
      <c r="AID22" s="515"/>
      <c r="AIE22" s="515"/>
      <c r="AIF22" s="515"/>
      <c r="AIG22" s="515"/>
      <c r="AIH22" s="515"/>
      <c r="AII22" s="515"/>
      <c r="AIJ22" s="515"/>
      <c r="AIK22" s="515"/>
      <c r="AIL22" s="515"/>
      <c r="AIM22" s="515"/>
      <c r="AIN22" s="515"/>
      <c r="AIO22" s="515"/>
      <c r="AIP22" s="515"/>
      <c r="AIQ22" s="515"/>
      <c r="AIR22" s="515"/>
      <c r="AIS22" s="515"/>
      <c r="AIT22" s="515"/>
      <c r="AIU22" s="515"/>
      <c r="AIV22" s="515"/>
      <c r="AIW22" s="515"/>
      <c r="AIX22" s="515"/>
      <c r="AIY22" s="515"/>
      <c r="AIZ22" s="515"/>
      <c r="AJA22" s="515"/>
      <c r="AJB22" s="515"/>
      <c r="AJC22" s="515"/>
      <c r="AJD22" s="515"/>
      <c r="AJE22" s="515"/>
      <c r="AJF22" s="515"/>
      <c r="AJG22" s="515"/>
      <c r="AJH22" s="515"/>
      <c r="AJI22" s="515"/>
      <c r="AJJ22" s="515"/>
      <c r="AJK22" s="515"/>
      <c r="AJL22" s="515"/>
      <c r="AJM22" s="515"/>
      <c r="AJN22" s="515"/>
      <c r="AJO22" s="515"/>
      <c r="AJP22" s="515"/>
      <c r="AJQ22" s="515"/>
      <c r="AJR22" s="515"/>
      <c r="AJS22" s="515"/>
      <c r="AJT22" s="515"/>
      <c r="AJU22" s="515"/>
      <c r="AJV22" s="515"/>
      <c r="AJW22" s="515"/>
      <c r="AJX22" s="515"/>
      <c r="AJY22" s="515"/>
      <c r="AJZ22" s="515"/>
      <c r="AKA22" s="515"/>
      <c r="AKB22" s="515"/>
      <c r="AKC22" s="515"/>
      <c r="AKD22" s="515"/>
      <c r="AKE22" s="515"/>
      <c r="AKF22" s="515"/>
      <c r="AKG22" s="515"/>
      <c r="AKH22" s="515"/>
      <c r="AKI22" s="515"/>
      <c r="AKJ22" s="515"/>
      <c r="AKK22" s="515"/>
      <c r="AKL22" s="515"/>
      <c r="AKM22" s="515"/>
      <c r="AKN22" s="515"/>
      <c r="AKO22" s="515"/>
      <c r="AKP22" s="515"/>
      <c r="AKQ22" s="515"/>
      <c r="AKR22" s="515"/>
      <c r="AKS22" s="515"/>
      <c r="AKT22" s="515"/>
      <c r="AKU22" s="515"/>
      <c r="AKV22" s="515"/>
      <c r="AKW22" s="515"/>
      <c r="AKX22" s="515"/>
      <c r="AKY22" s="515"/>
      <c r="AKZ22" s="515"/>
      <c r="ALA22" s="515"/>
      <c r="ALB22" s="515"/>
      <c r="ALC22" s="515"/>
      <c r="ALD22" s="515"/>
      <c r="ALE22" s="515"/>
      <c r="ALF22" s="515"/>
      <c r="ALG22" s="515"/>
      <c r="ALH22" s="515"/>
      <c r="ALI22" s="515"/>
      <c r="ALJ22" s="515"/>
      <c r="ALK22" s="515"/>
      <c r="ALL22" s="515"/>
      <c r="ALM22" s="515"/>
      <c r="ALN22" s="515"/>
      <c r="ALO22" s="515"/>
      <c r="ALP22" s="515"/>
      <c r="ALQ22" s="515"/>
      <c r="ALR22" s="515"/>
      <c r="ALS22" s="515"/>
      <c r="ALT22" s="515"/>
      <c r="ALU22" s="515"/>
      <c r="ALV22" s="515"/>
      <c r="ALW22" s="515"/>
      <c r="ALX22" s="515"/>
      <c r="ALY22" s="515"/>
      <c r="ALZ22" s="515"/>
      <c r="AMA22" s="515"/>
      <c r="AMB22" s="515"/>
      <c r="AMC22" s="515"/>
      <c r="AMD22" s="515"/>
      <c r="AME22" s="515"/>
      <c r="AMF22" s="515"/>
      <c r="AMG22" s="515"/>
      <c r="AMH22" s="515"/>
      <c r="AMI22" s="515"/>
      <c r="AMJ22" s="515"/>
      <c r="AMK22" s="515"/>
      <c r="AML22" s="515"/>
      <c r="AMM22" s="515"/>
      <c r="AMN22" s="515"/>
      <c r="AMO22" s="515"/>
      <c r="AMP22" s="515"/>
      <c r="AMQ22" s="515"/>
      <c r="AMR22" s="515"/>
      <c r="AMS22" s="515"/>
      <c r="AMT22" s="515"/>
      <c r="AMU22" s="515"/>
      <c r="AMV22" s="515"/>
      <c r="AMW22" s="515"/>
      <c r="AMX22" s="515"/>
      <c r="AMY22" s="515"/>
      <c r="AMZ22" s="515"/>
      <c r="ANA22" s="515"/>
      <c r="ANB22" s="515"/>
      <c r="ANC22" s="515"/>
      <c r="AND22" s="515"/>
      <c r="ANE22" s="515"/>
      <c r="ANF22" s="515"/>
      <c r="ANG22" s="515"/>
      <c r="ANH22" s="515"/>
      <c r="ANI22" s="515"/>
      <c r="ANJ22" s="515"/>
      <c r="ANK22" s="515"/>
      <c r="ANL22" s="515"/>
      <c r="ANM22" s="515"/>
      <c r="ANN22" s="515"/>
      <c r="ANO22" s="515"/>
      <c r="ANP22" s="515"/>
      <c r="ANQ22" s="515"/>
      <c r="ANR22" s="515"/>
      <c r="ANS22" s="515"/>
      <c r="ANT22" s="515"/>
      <c r="ANU22" s="515"/>
      <c r="ANV22" s="515"/>
      <c r="ANW22" s="515"/>
      <c r="ANX22" s="515"/>
      <c r="ANY22" s="515"/>
      <c r="ANZ22" s="515"/>
      <c r="AOA22" s="515"/>
      <c r="AOB22" s="515"/>
      <c r="AOC22" s="515"/>
      <c r="AOD22" s="515"/>
      <c r="AOE22" s="515"/>
      <c r="AOF22" s="515"/>
      <c r="AOG22" s="515"/>
      <c r="AOH22" s="515"/>
      <c r="AOI22" s="515"/>
      <c r="AOJ22" s="515"/>
      <c r="AOK22" s="515"/>
      <c r="AOL22" s="515"/>
      <c r="AOM22" s="515"/>
      <c r="AON22" s="515"/>
      <c r="AOO22" s="515"/>
      <c r="AOP22" s="515"/>
      <c r="AOQ22" s="515"/>
      <c r="AOR22" s="515"/>
      <c r="AOS22" s="515"/>
      <c r="AOT22" s="515"/>
      <c r="AOU22" s="515"/>
      <c r="AOV22" s="515"/>
      <c r="AOW22" s="515"/>
      <c r="AOX22" s="515"/>
      <c r="AOY22" s="515"/>
      <c r="AOZ22" s="515"/>
      <c r="APA22" s="515"/>
      <c r="APB22" s="515"/>
      <c r="APC22" s="515"/>
      <c r="APD22" s="515"/>
      <c r="APE22" s="515"/>
      <c r="APF22" s="515"/>
      <c r="APG22" s="515"/>
      <c r="APH22" s="515"/>
      <c r="API22" s="515"/>
      <c r="APJ22" s="515"/>
      <c r="APK22" s="515"/>
      <c r="APL22" s="515"/>
      <c r="APM22" s="515"/>
      <c r="APN22" s="515"/>
      <c r="APO22" s="515"/>
      <c r="APP22" s="515"/>
      <c r="APQ22" s="515"/>
      <c r="APR22" s="515"/>
      <c r="APS22" s="515"/>
      <c r="APT22" s="515"/>
      <c r="APU22" s="515"/>
      <c r="APV22" s="515"/>
      <c r="APW22" s="515"/>
      <c r="APX22" s="515"/>
      <c r="APY22" s="515"/>
      <c r="APZ22" s="515"/>
      <c r="AQA22" s="515"/>
      <c r="AQB22" s="515"/>
      <c r="AQC22" s="515"/>
      <c r="AQD22" s="515"/>
      <c r="AQE22" s="515"/>
      <c r="AQF22" s="515"/>
      <c r="AQG22" s="515"/>
      <c r="AQH22" s="515"/>
      <c r="AQI22" s="515"/>
      <c r="AQJ22" s="515"/>
      <c r="AQK22" s="515"/>
      <c r="AQL22" s="515"/>
      <c r="AQM22" s="515"/>
      <c r="AQN22" s="515"/>
      <c r="AQO22" s="515"/>
      <c r="AQP22" s="515"/>
      <c r="AQQ22" s="515"/>
      <c r="AQR22" s="515"/>
      <c r="AQS22" s="515"/>
      <c r="AQT22" s="515"/>
      <c r="AQU22" s="515"/>
      <c r="AQV22" s="515"/>
      <c r="AQW22" s="515"/>
      <c r="AQX22" s="515"/>
      <c r="AQY22" s="515"/>
      <c r="AQZ22" s="515"/>
      <c r="ARA22" s="515"/>
      <c r="ARB22" s="515"/>
      <c r="ARC22" s="515"/>
      <c r="ARD22" s="515"/>
      <c r="ARE22" s="515"/>
      <c r="ARF22" s="515"/>
      <c r="ARG22" s="515"/>
      <c r="ARH22" s="515"/>
      <c r="ARI22" s="515"/>
      <c r="ARJ22" s="515"/>
      <c r="ARK22" s="515"/>
      <c r="ARL22" s="515"/>
      <c r="ARM22" s="515"/>
      <c r="ARN22" s="515"/>
      <c r="ARO22" s="515"/>
      <c r="ARP22" s="515"/>
      <c r="ARQ22" s="515"/>
      <c r="ARR22" s="515"/>
      <c r="ARS22" s="515"/>
      <c r="ART22" s="515"/>
      <c r="ARU22" s="515"/>
      <c r="ARV22" s="515"/>
      <c r="ARW22" s="515"/>
      <c r="ARX22" s="515"/>
      <c r="ARY22" s="515"/>
      <c r="ARZ22" s="515"/>
      <c r="ASA22" s="515"/>
      <c r="ASB22" s="515"/>
      <c r="ASC22" s="515"/>
      <c r="ASD22" s="515"/>
      <c r="ASE22" s="515"/>
      <c r="ASF22" s="515"/>
      <c r="ASG22" s="515"/>
      <c r="ASH22" s="515"/>
      <c r="ASI22" s="515"/>
      <c r="ASJ22" s="515"/>
      <c r="ASK22" s="515"/>
      <c r="ASL22" s="515"/>
      <c r="ASM22" s="515"/>
      <c r="ASN22" s="515"/>
      <c r="ASO22" s="515"/>
      <c r="ASP22" s="515"/>
      <c r="ASQ22" s="515"/>
      <c r="ASR22" s="515"/>
      <c r="ASS22" s="515"/>
      <c r="AST22" s="515"/>
      <c r="ASU22" s="515"/>
      <c r="ASV22" s="515"/>
      <c r="ASW22" s="515"/>
      <c r="ASX22" s="515"/>
      <c r="ASY22" s="515"/>
      <c r="ASZ22" s="515"/>
      <c r="ATA22" s="515"/>
      <c r="ATB22" s="515"/>
      <c r="ATC22" s="515"/>
      <c r="ATD22" s="515"/>
      <c r="ATE22" s="515"/>
      <c r="ATF22" s="515"/>
      <c r="ATG22" s="515"/>
      <c r="ATH22" s="515"/>
      <c r="ATI22" s="515"/>
      <c r="ATJ22" s="515"/>
      <c r="ATK22" s="515"/>
      <c r="ATL22" s="515"/>
      <c r="ATM22" s="515"/>
      <c r="ATN22" s="515"/>
      <c r="ATO22" s="515"/>
      <c r="ATP22" s="515"/>
      <c r="ATQ22" s="515"/>
      <c r="ATR22" s="515"/>
      <c r="ATS22" s="515"/>
      <c r="ATT22" s="515"/>
      <c r="ATU22" s="515"/>
      <c r="ATV22" s="515"/>
      <c r="ATW22" s="515"/>
      <c r="ATX22" s="515"/>
      <c r="ATY22" s="515"/>
      <c r="ATZ22" s="515"/>
      <c r="AUA22" s="515"/>
      <c r="AUB22" s="515"/>
      <c r="AUC22" s="515"/>
      <c r="AUD22" s="515"/>
      <c r="AUE22" s="515"/>
      <c r="AUF22" s="515"/>
      <c r="AUG22" s="515"/>
      <c r="AUH22" s="515"/>
      <c r="AUI22" s="515"/>
      <c r="AUJ22" s="515"/>
      <c r="AUK22" s="515"/>
      <c r="AUL22" s="515"/>
      <c r="AUM22" s="515"/>
      <c r="AUN22" s="515"/>
      <c r="AUO22" s="515"/>
      <c r="AUP22" s="515"/>
      <c r="AUQ22" s="515"/>
      <c r="AUR22" s="515"/>
      <c r="AUS22" s="515"/>
      <c r="AUT22" s="515"/>
      <c r="AUU22" s="515"/>
      <c r="AUV22" s="515"/>
      <c r="AUW22" s="515"/>
      <c r="AUX22" s="515"/>
      <c r="AUY22" s="515"/>
      <c r="AUZ22" s="515"/>
      <c r="AVA22" s="515"/>
      <c r="AVB22" s="515"/>
      <c r="AVC22" s="515"/>
      <c r="AVD22" s="515"/>
      <c r="AVE22" s="515"/>
      <c r="AVF22" s="515"/>
      <c r="AVG22" s="515"/>
      <c r="AVH22" s="515"/>
      <c r="AVI22" s="515"/>
      <c r="AVJ22" s="515"/>
      <c r="AVK22" s="515"/>
      <c r="AVL22" s="515"/>
      <c r="AVM22" s="515"/>
      <c r="AVN22" s="515"/>
      <c r="AVO22" s="515"/>
      <c r="AVP22" s="515"/>
      <c r="AVQ22" s="515"/>
      <c r="AVR22" s="515"/>
      <c r="AVS22" s="515"/>
      <c r="AVT22" s="515"/>
      <c r="AVU22" s="515"/>
      <c r="AVV22" s="515"/>
      <c r="AVW22" s="515"/>
      <c r="AVX22" s="515"/>
      <c r="AVY22" s="515"/>
      <c r="AVZ22" s="515"/>
      <c r="AWA22" s="515"/>
      <c r="AWB22" s="515"/>
      <c r="AWC22" s="515"/>
      <c r="AWD22" s="515"/>
      <c r="AWE22" s="515"/>
      <c r="AWF22" s="515"/>
      <c r="AWG22" s="515"/>
      <c r="AWH22" s="515"/>
      <c r="AWI22" s="515"/>
      <c r="AWJ22" s="515"/>
      <c r="AWK22" s="515"/>
      <c r="AWL22" s="515"/>
      <c r="AWM22" s="515"/>
      <c r="AWN22" s="515"/>
      <c r="AWO22" s="515"/>
      <c r="AWP22" s="515"/>
      <c r="AWQ22" s="515"/>
      <c r="AWR22" s="515"/>
      <c r="AWS22" s="515"/>
      <c r="AWT22" s="515"/>
      <c r="AWU22" s="515"/>
      <c r="AWV22" s="515"/>
      <c r="AWW22" s="515"/>
      <c r="AWX22" s="515"/>
      <c r="AWY22" s="515"/>
      <c r="AWZ22" s="515"/>
      <c r="AXA22" s="515"/>
      <c r="AXB22" s="515"/>
      <c r="AXC22" s="515"/>
      <c r="AXD22" s="515"/>
      <c r="AXE22" s="515"/>
      <c r="AXF22" s="515"/>
      <c r="AXG22" s="515"/>
      <c r="AXH22" s="515"/>
      <c r="AXI22" s="515"/>
      <c r="AXJ22" s="515"/>
      <c r="AXK22" s="515"/>
      <c r="AXL22" s="515"/>
      <c r="AXM22" s="515"/>
      <c r="AXN22" s="515"/>
      <c r="AXO22" s="515"/>
      <c r="AXP22" s="515"/>
      <c r="AXQ22" s="515"/>
      <c r="AXR22" s="515"/>
      <c r="AXS22" s="515"/>
      <c r="AXT22" s="515"/>
      <c r="AXU22" s="515"/>
      <c r="AXV22" s="515"/>
      <c r="AXW22" s="515"/>
      <c r="AXX22" s="515"/>
      <c r="AXY22" s="515"/>
      <c r="AXZ22" s="515"/>
      <c r="AYA22" s="515"/>
      <c r="AYB22" s="515"/>
      <c r="AYC22" s="515"/>
      <c r="AYD22" s="515"/>
      <c r="AYE22" s="515"/>
      <c r="AYF22" s="515"/>
      <c r="AYG22" s="515"/>
      <c r="AYH22" s="515"/>
      <c r="AYI22" s="515"/>
      <c r="AYJ22" s="515"/>
      <c r="AYK22" s="515"/>
      <c r="AYL22" s="515"/>
      <c r="AYM22" s="515"/>
      <c r="AYN22" s="515"/>
      <c r="AYO22" s="515"/>
      <c r="AYP22" s="515"/>
      <c r="AYQ22" s="515"/>
      <c r="AYR22" s="515"/>
      <c r="AYS22" s="515"/>
      <c r="AYT22" s="515"/>
      <c r="AYU22" s="515"/>
      <c r="AYV22" s="515"/>
      <c r="AYW22" s="515"/>
      <c r="AYX22" s="515"/>
      <c r="AYY22" s="515"/>
      <c r="AYZ22" s="515"/>
      <c r="AZA22" s="515"/>
      <c r="AZB22" s="515"/>
      <c r="AZC22" s="515"/>
      <c r="AZD22" s="515"/>
      <c r="AZE22" s="515"/>
      <c r="AZF22" s="515"/>
      <c r="AZG22" s="515"/>
      <c r="AZH22" s="515"/>
      <c r="AZI22" s="515"/>
      <c r="AZJ22" s="515"/>
      <c r="AZK22" s="515"/>
      <c r="AZL22" s="515"/>
      <c r="AZM22" s="515"/>
      <c r="AZN22" s="515"/>
      <c r="AZO22" s="515"/>
      <c r="AZP22" s="515"/>
      <c r="AZQ22" s="515"/>
      <c r="AZR22" s="515"/>
      <c r="AZS22" s="515"/>
      <c r="AZT22" s="515"/>
      <c r="AZU22" s="515"/>
      <c r="AZV22" s="515"/>
      <c r="AZW22" s="515"/>
      <c r="AZX22" s="515"/>
      <c r="AZY22" s="515"/>
      <c r="AZZ22" s="515"/>
      <c r="BAA22" s="515"/>
      <c r="BAB22" s="515"/>
      <c r="BAC22" s="515"/>
      <c r="BAD22" s="515"/>
      <c r="BAE22" s="515"/>
      <c r="BAF22" s="515"/>
      <c r="BAG22" s="515"/>
      <c r="BAH22" s="515"/>
      <c r="BAI22" s="515"/>
      <c r="BAJ22" s="515"/>
      <c r="BAK22" s="515"/>
      <c r="BAL22" s="515"/>
      <c r="BAM22" s="515"/>
      <c r="BAN22" s="515"/>
      <c r="BAO22" s="515"/>
      <c r="BAP22" s="515"/>
      <c r="BAQ22" s="515"/>
      <c r="BAR22" s="515"/>
      <c r="BAS22" s="515"/>
      <c r="BAT22" s="515"/>
      <c r="BAU22" s="515"/>
      <c r="BAV22" s="515"/>
      <c r="BAW22" s="515"/>
      <c r="BAX22" s="515"/>
      <c r="BAY22" s="515"/>
      <c r="BAZ22" s="515"/>
      <c r="BBA22" s="515"/>
      <c r="BBB22" s="515"/>
      <c r="BBC22" s="515"/>
      <c r="BBD22" s="515"/>
      <c r="BBE22" s="515"/>
      <c r="BBF22" s="515"/>
      <c r="BBG22" s="515"/>
      <c r="BBH22" s="515"/>
      <c r="BBI22" s="515"/>
      <c r="BBJ22" s="515"/>
      <c r="BBK22" s="515"/>
      <c r="BBL22" s="515"/>
      <c r="BBM22" s="515"/>
      <c r="BBN22" s="515"/>
      <c r="BBO22" s="515"/>
      <c r="BBP22" s="515"/>
      <c r="BBQ22" s="515"/>
      <c r="BBR22" s="515"/>
      <c r="BBS22" s="515"/>
      <c r="BBT22" s="515"/>
      <c r="BBU22" s="515"/>
      <c r="BBV22" s="515"/>
      <c r="BBW22" s="515"/>
      <c r="BBX22" s="515"/>
      <c r="BBY22" s="515"/>
      <c r="BBZ22" s="515"/>
      <c r="BCA22" s="515"/>
      <c r="BCB22" s="515"/>
      <c r="BCC22" s="515"/>
      <c r="BCD22" s="515"/>
      <c r="BCE22" s="515"/>
      <c r="BCF22" s="515"/>
      <c r="BCG22" s="515"/>
      <c r="BCH22" s="515"/>
      <c r="BCI22" s="515"/>
      <c r="BCJ22" s="515"/>
      <c r="BCK22" s="515"/>
      <c r="BCL22" s="515"/>
      <c r="BCM22" s="515"/>
      <c r="BCN22" s="515"/>
      <c r="BCO22" s="515"/>
      <c r="BCP22" s="515"/>
      <c r="BCQ22" s="515"/>
      <c r="BCR22" s="515"/>
      <c r="BCS22" s="515"/>
      <c r="BCT22" s="515"/>
      <c r="BCU22" s="515"/>
      <c r="BCV22" s="515"/>
      <c r="BCW22" s="515"/>
      <c r="BCX22" s="515"/>
      <c r="BCY22" s="515"/>
      <c r="BCZ22" s="515"/>
      <c r="BDA22" s="515"/>
      <c r="BDB22" s="515"/>
      <c r="BDC22" s="515"/>
      <c r="BDD22" s="515"/>
      <c r="BDE22" s="515"/>
      <c r="BDF22" s="515"/>
      <c r="BDG22" s="515"/>
      <c r="BDH22" s="515"/>
      <c r="BDI22" s="515"/>
      <c r="BDJ22" s="515"/>
      <c r="BDK22" s="515"/>
      <c r="BDL22" s="515"/>
      <c r="BDM22" s="515"/>
      <c r="BDN22" s="515"/>
      <c r="BDO22" s="515"/>
      <c r="BDP22" s="515"/>
      <c r="BDQ22" s="515"/>
      <c r="BDR22" s="515"/>
      <c r="BDS22" s="515"/>
      <c r="BDT22" s="515"/>
      <c r="BDU22" s="515"/>
      <c r="BDV22" s="515"/>
      <c r="BDW22" s="515"/>
      <c r="BDX22" s="515"/>
      <c r="BDY22" s="515"/>
      <c r="BDZ22" s="515"/>
      <c r="BEA22" s="515"/>
      <c r="BEB22" s="515"/>
      <c r="BEC22" s="515"/>
      <c r="BED22" s="515"/>
      <c r="BEE22" s="515"/>
      <c r="BEF22" s="515"/>
      <c r="BEG22" s="515"/>
      <c r="BEH22" s="515"/>
      <c r="BEI22" s="515"/>
      <c r="BEJ22" s="515"/>
      <c r="BEK22" s="515"/>
      <c r="BEL22" s="515"/>
      <c r="BEM22" s="515"/>
      <c r="BEN22" s="515"/>
      <c r="BEO22" s="515"/>
      <c r="BEP22" s="515"/>
      <c r="BEQ22" s="515"/>
      <c r="BER22" s="515"/>
      <c r="BES22" s="515"/>
      <c r="BET22" s="515"/>
      <c r="BEU22" s="515"/>
      <c r="BEV22" s="515"/>
      <c r="BEW22" s="515"/>
      <c r="BEX22" s="515"/>
      <c r="BEY22" s="515"/>
      <c r="BEZ22" s="515"/>
      <c r="BFA22" s="515"/>
      <c r="BFB22" s="515"/>
      <c r="BFC22" s="515"/>
      <c r="BFD22" s="515"/>
      <c r="BFE22" s="515"/>
      <c r="BFF22" s="515"/>
      <c r="BFG22" s="515"/>
      <c r="BFH22" s="515"/>
      <c r="BFI22" s="515"/>
      <c r="BFJ22" s="515"/>
      <c r="BFK22" s="515"/>
      <c r="BFL22" s="515"/>
      <c r="BFM22" s="515"/>
      <c r="BFN22" s="515"/>
      <c r="BFO22" s="515"/>
      <c r="BFP22" s="515"/>
      <c r="BFQ22" s="515"/>
      <c r="BFR22" s="515"/>
      <c r="BFS22" s="515"/>
      <c r="BFT22" s="515"/>
      <c r="BFU22" s="515"/>
      <c r="BFV22" s="515"/>
      <c r="BFW22" s="515"/>
      <c r="BFX22" s="515"/>
      <c r="BFY22" s="515"/>
      <c r="BFZ22" s="515"/>
      <c r="BGA22" s="515"/>
      <c r="BGB22" s="515"/>
      <c r="BGC22" s="515"/>
      <c r="BGD22" s="515"/>
      <c r="BGE22" s="515"/>
      <c r="BGF22" s="515"/>
      <c r="BGG22" s="515"/>
      <c r="BGH22" s="515"/>
      <c r="BGI22" s="515"/>
      <c r="BGJ22" s="515"/>
      <c r="BGK22" s="515"/>
      <c r="BGL22" s="515"/>
      <c r="BGM22" s="515"/>
      <c r="BGN22" s="515"/>
      <c r="BGO22" s="515"/>
      <c r="BGP22" s="515"/>
      <c r="BGQ22" s="515"/>
      <c r="BGR22" s="515"/>
      <c r="BGS22" s="515"/>
      <c r="BGT22" s="515"/>
      <c r="BGU22" s="515"/>
      <c r="BGV22" s="515"/>
      <c r="BGW22" s="515"/>
      <c r="BGX22" s="515"/>
      <c r="BGY22" s="515"/>
      <c r="BGZ22" s="515"/>
      <c r="BHA22" s="515"/>
      <c r="BHB22" s="515"/>
      <c r="BHC22" s="515"/>
      <c r="BHD22" s="515"/>
      <c r="BHE22" s="515"/>
      <c r="BHF22" s="515"/>
      <c r="BHG22" s="515"/>
      <c r="BHH22" s="515"/>
      <c r="BHI22" s="515"/>
      <c r="BHJ22" s="515"/>
      <c r="BHK22" s="515"/>
      <c r="BHL22" s="515"/>
      <c r="BHM22" s="515"/>
      <c r="BHN22" s="515"/>
      <c r="BHO22" s="515"/>
      <c r="BHP22" s="515"/>
      <c r="BHQ22" s="515"/>
      <c r="BHR22" s="515"/>
      <c r="BHS22" s="515"/>
      <c r="BHT22" s="515"/>
      <c r="BHU22" s="515"/>
      <c r="BHV22" s="515"/>
      <c r="BHW22" s="515"/>
      <c r="BHX22" s="515"/>
      <c r="BHY22" s="515"/>
      <c r="BHZ22" s="515"/>
      <c r="BIA22" s="515"/>
      <c r="BIB22" s="515"/>
      <c r="BIC22" s="515"/>
      <c r="BID22" s="515"/>
      <c r="BIE22" s="515"/>
      <c r="BIF22" s="515"/>
      <c r="BIG22" s="515"/>
      <c r="BIH22" s="515"/>
      <c r="BII22" s="515"/>
      <c r="BIJ22" s="515"/>
      <c r="BIK22" s="515"/>
      <c r="BIL22" s="515"/>
      <c r="BIM22" s="515"/>
      <c r="BIN22" s="515"/>
      <c r="BIO22" s="515"/>
      <c r="BIP22" s="515"/>
      <c r="BIQ22" s="515"/>
      <c r="BIR22" s="515"/>
      <c r="BIS22" s="515"/>
      <c r="BIT22" s="515"/>
      <c r="BIU22" s="515"/>
      <c r="BIV22" s="515"/>
      <c r="BIW22" s="515"/>
      <c r="BIX22" s="515"/>
      <c r="BIY22" s="515"/>
      <c r="BIZ22" s="515"/>
      <c r="BJA22" s="515"/>
      <c r="BJB22" s="515"/>
      <c r="BJC22" s="515"/>
      <c r="BJD22" s="515"/>
      <c r="BJE22" s="515"/>
      <c r="BJF22" s="515"/>
      <c r="BJG22" s="515"/>
      <c r="BJH22" s="515"/>
      <c r="BJI22" s="515"/>
      <c r="BJJ22" s="515"/>
      <c r="BJK22" s="515"/>
      <c r="BJL22" s="515"/>
      <c r="BJM22" s="515"/>
      <c r="BJN22" s="515"/>
      <c r="BJO22" s="515"/>
      <c r="BJP22" s="515"/>
      <c r="BJQ22" s="515"/>
      <c r="BJR22" s="515"/>
      <c r="BJS22" s="515"/>
      <c r="BJT22" s="515"/>
      <c r="BJU22" s="515"/>
      <c r="BJV22" s="515"/>
      <c r="BJW22" s="515"/>
      <c r="BJX22" s="515"/>
      <c r="BJY22" s="515"/>
      <c r="BJZ22" s="515"/>
      <c r="BKA22" s="515"/>
      <c r="BKB22" s="515"/>
      <c r="BKC22" s="515"/>
      <c r="BKD22" s="515"/>
      <c r="BKE22" s="515"/>
      <c r="BKF22" s="515"/>
      <c r="BKG22" s="515"/>
      <c r="BKH22" s="515"/>
      <c r="BKI22" s="515"/>
      <c r="BKJ22" s="515"/>
      <c r="BKK22" s="515"/>
      <c r="BKL22" s="515"/>
      <c r="BKM22" s="515"/>
      <c r="BKN22" s="515"/>
      <c r="BKO22" s="515"/>
      <c r="BKP22" s="515"/>
      <c r="BKQ22" s="515"/>
      <c r="BKR22" s="515"/>
      <c r="BKS22" s="515"/>
      <c r="BKT22" s="515"/>
      <c r="BKU22" s="515"/>
      <c r="BKV22" s="515"/>
      <c r="BKW22" s="515"/>
      <c r="BKX22" s="515"/>
      <c r="BKY22" s="515"/>
      <c r="BKZ22" s="515"/>
      <c r="BLA22" s="515"/>
      <c r="BLB22" s="515"/>
      <c r="BLC22" s="515"/>
      <c r="BLD22" s="515"/>
      <c r="BLE22" s="515"/>
      <c r="BLF22" s="515"/>
      <c r="BLG22" s="515"/>
      <c r="BLH22" s="515"/>
      <c r="BLI22" s="515"/>
      <c r="BLJ22" s="515"/>
      <c r="BLK22" s="515"/>
      <c r="BLL22" s="515"/>
      <c r="BLM22" s="515"/>
      <c r="BLN22" s="515"/>
      <c r="BLO22" s="515"/>
      <c r="BLP22" s="515"/>
      <c r="BLQ22" s="515"/>
      <c r="BLR22" s="515"/>
      <c r="BLS22" s="515"/>
      <c r="BLT22" s="515"/>
      <c r="BLU22" s="515"/>
      <c r="BLV22" s="515"/>
      <c r="BLW22" s="515"/>
      <c r="BLX22" s="515"/>
      <c r="BLY22" s="515"/>
      <c r="BLZ22" s="515"/>
      <c r="BMA22" s="515"/>
      <c r="BMB22" s="515"/>
      <c r="BMC22" s="515"/>
      <c r="BMD22" s="515"/>
      <c r="BME22" s="515"/>
      <c r="BMF22" s="515"/>
      <c r="BMG22" s="515"/>
      <c r="BMH22" s="515"/>
      <c r="BMI22" s="515"/>
      <c r="BMJ22" s="515"/>
      <c r="BMK22" s="515"/>
      <c r="BML22" s="515"/>
      <c r="BMM22" s="515"/>
      <c r="BMN22" s="515"/>
      <c r="BMO22" s="515"/>
      <c r="BMP22" s="515"/>
      <c r="BMQ22" s="515"/>
      <c r="BMR22" s="515"/>
      <c r="BMS22" s="515"/>
      <c r="BMT22" s="515"/>
      <c r="BMU22" s="515"/>
      <c r="BMV22" s="515"/>
      <c r="BMW22" s="515"/>
      <c r="BMX22" s="515"/>
      <c r="BMY22" s="515"/>
      <c r="BMZ22" s="515"/>
      <c r="BNA22" s="515"/>
      <c r="BNB22" s="515"/>
      <c r="BNC22" s="515"/>
      <c r="BND22" s="515"/>
      <c r="BNE22" s="515"/>
      <c r="BNF22" s="515"/>
      <c r="BNG22" s="515"/>
      <c r="BNH22" s="515"/>
      <c r="BNI22" s="515"/>
      <c r="BNJ22" s="515"/>
      <c r="BNK22" s="515"/>
      <c r="BNL22" s="515"/>
      <c r="BNM22" s="515"/>
      <c r="BNN22" s="515"/>
      <c r="BNO22" s="515"/>
      <c r="BNP22" s="515"/>
      <c r="BNQ22" s="515"/>
      <c r="BNR22" s="515"/>
      <c r="BNS22" s="515"/>
      <c r="BNT22" s="515"/>
      <c r="BNU22" s="515"/>
      <c r="BNV22" s="515"/>
      <c r="BNW22" s="515"/>
      <c r="BNX22" s="515"/>
      <c r="BNY22" s="515"/>
      <c r="BNZ22" s="515"/>
      <c r="BOA22" s="515"/>
      <c r="BOB22" s="515"/>
      <c r="BOC22" s="515"/>
      <c r="BOD22" s="515"/>
      <c r="BOE22" s="515"/>
      <c r="BOF22" s="515"/>
      <c r="BOG22" s="515"/>
      <c r="BOH22" s="515"/>
      <c r="BOI22" s="515"/>
      <c r="BOJ22" s="515"/>
      <c r="BOK22" s="515"/>
      <c r="BOL22" s="515"/>
      <c r="BOM22" s="515"/>
      <c r="BON22" s="515"/>
      <c r="BOO22" s="515"/>
      <c r="BOP22" s="515"/>
      <c r="BOQ22" s="515"/>
      <c r="BOR22" s="515"/>
      <c r="BOS22" s="515"/>
      <c r="BOT22" s="515"/>
      <c r="BOU22" s="515"/>
      <c r="BOV22" s="515"/>
      <c r="BOW22" s="515"/>
      <c r="BOX22" s="515"/>
      <c r="BOY22" s="515"/>
      <c r="BOZ22" s="515"/>
      <c r="BPA22" s="515"/>
      <c r="BPB22" s="515"/>
      <c r="BPC22" s="515"/>
      <c r="BPD22" s="515"/>
      <c r="BPE22" s="515"/>
      <c r="BPF22" s="515"/>
      <c r="BPG22" s="515"/>
      <c r="BPH22" s="515"/>
      <c r="BPI22" s="515"/>
      <c r="BPJ22" s="515"/>
      <c r="BPK22" s="515"/>
      <c r="BPL22" s="515"/>
      <c r="BPM22" s="515"/>
      <c r="BPN22" s="515"/>
      <c r="BPO22" s="515"/>
      <c r="BPP22" s="515"/>
      <c r="BPQ22" s="515"/>
      <c r="BPR22" s="515"/>
      <c r="BPS22" s="515"/>
      <c r="BPT22" s="515"/>
      <c r="BPU22" s="515"/>
      <c r="BPV22" s="515"/>
      <c r="BPW22" s="515"/>
      <c r="BPX22" s="515"/>
      <c r="BPY22" s="515"/>
      <c r="BPZ22" s="515"/>
      <c r="BQA22" s="515"/>
      <c r="BQB22" s="515"/>
      <c r="BQC22" s="515"/>
      <c r="BQD22" s="515"/>
      <c r="BQE22" s="515"/>
      <c r="BQF22" s="515"/>
      <c r="BQG22" s="515"/>
      <c r="BQH22" s="515"/>
      <c r="BQI22" s="515"/>
      <c r="BQJ22" s="515"/>
      <c r="BQK22" s="515"/>
      <c r="BQL22" s="515"/>
      <c r="BQM22" s="515"/>
      <c r="BQN22" s="515"/>
      <c r="BQO22" s="515"/>
      <c r="BQP22" s="515"/>
      <c r="BQQ22" s="515"/>
      <c r="BQR22" s="515"/>
      <c r="BQS22" s="515"/>
      <c r="BQT22" s="515"/>
      <c r="BQU22" s="515"/>
      <c r="BQV22" s="515"/>
      <c r="BQW22" s="515"/>
      <c r="BQX22" s="515"/>
      <c r="BQY22" s="515"/>
      <c r="BQZ22" s="515"/>
      <c r="BRA22" s="515"/>
      <c r="BRB22" s="515"/>
      <c r="BRC22" s="515"/>
      <c r="BRD22" s="515"/>
      <c r="BRE22" s="515"/>
      <c r="BRF22" s="515"/>
      <c r="BRG22" s="515"/>
      <c r="BRH22" s="515"/>
      <c r="BRI22" s="515"/>
      <c r="BRJ22" s="515"/>
      <c r="BRK22" s="515"/>
      <c r="BRL22" s="515"/>
      <c r="BRM22" s="515"/>
      <c r="BRN22" s="515"/>
      <c r="BRO22" s="515"/>
      <c r="BRP22" s="515"/>
      <c r="BRQ22" s="515"/>
      <c r="BRR22" s="515"/>
      <c r="BRS22" s="515"/>
      <c r="BRT22" s="515"/>
      <c r="BRU22" s="515"/>
      <c r="BRV22" s="515"/>
      <c r="BRW22" s="515"/>
      <c r="BRX22" s="515"/>
      <c r="BRY22" s="515"/>
      <c r="BRZ22" s="515"/>
      <c r="BSA22" s="515"/>
      <c r="BSB22" s="515"/>
      <c r="BSC22" s="515"/>
      <c r="BSD22" s="515"/>
      <c r="BSE22" s="515"/>
      <c r="BSF22" s="515"/>
      <c r="BSG22" s="515"/>
      <c r="BSH22" s="515"/>
      <c r="BSI22" s="515"/>
      <c r="BSJ22" s="515"/>
      <c r="BSK22" s="515"/>
      <c r="BSL22" s="515"/>
      <c r="BSM22" s="515"/>
      <c r="BSN22" s="515"/>
      <c r="BSO22" s="515"/>
      <c r="BSP22" s="515"/>
      <c r="BSQ22" s="515"/>
      <c r="BSR22" s="515"/>
      <c r="BSS22" s="515"/>
      <c r="BST22" s="515"/>
      <c r="BSU22" s="515"/>
      <c r="BSV22" s="515"/>
      <c r="BSW22" s="515"/>
      <c r="BSX22" s="515"/>
      <c r="BSY22" s="515"/>
      <c r="BSZ22" s="515"/>
      <c r="BTA22" s="515"/>
      <c r="BTB22" s="515"/>
      <c r="BTC22" s="515"/>
      <c r="BTD22" s="515"/>
      <c r="BTE22" s="515"/>
      <c r="BTF22" s="515"/>
      <c r="BTG22" s="515"/>
      <c r="BTH22" s="515"/>
      <c r="BTI22" s="515"/>
      <c r="BTJ22" s="515"/>
      <c r="BTK22" s="515"/>
      <c r="BTL22" s="515"/>
      <c r="BTM22" s="515"/>
      <c r="BTN22" s="515"/>
      <c r="BTO22" s="515"/>
      <c r="BTP22" s="515"/>
      <c r="BTQ22" s="515"/>
      <c r="BTR22" s="515"/>
      <c r="BTS22" s="515"/>
      <c r="BTT22" s="515"/>
      <c r="BTU22" s="515"/>
      <c r="BTV22" s="515"/>
      <c r="BTW22" s="515"/>
      <c r="BTX22" s="515"/>
      <c r="BTY22" s="515"/>
      <c r="BTZ22" s="515"/>
      <c r="BUA22" s="515"/>
      <c r="BUB22" s="515"/>
      <c r="BUC22" s="515"/>
      <c r="BUD22" s="515"/>
      <c r="BUE22" s="515"/>
      <c r="BUF22" s="515"/>
      <c r="BUG22" s="515"/>
      <c r="BUH22" s="515"/>
      <c r="BUI22" s="515"/>
      <c r="BUJ22" s="515"/>
      <c r="BUK22" s="515"/>
      <c r="BUL22" s="515"/>
      <c r="BUM22" s="515"/>
      <c r="BUN22" s="515"/>
      <c r="BUO22" s="515"/>
      <c r="BUP22" s="515"/>
      <c r="BUQ22" s="515"/>
      <c r="BUR22" s="515"/>
      <c r="BUS22" s="515"/>
      <c r="BUT22" s="515"/>
      <c r="BUU22" s="515"/>
      <c r="BUV22" s="515"/>
      <c r="BUW22" s="515"/>
      <c r="BUX22" s="515"/>
      <c r="BUY22" s="515"/>
      <c r="BUZ22" s="515"/>
      <c r="BVA22" s="515"/>
      <c r="BVB22" s="515"/>
      <c r="BVC22" s="515"/>
      <c r="BVD22" s="515"/>
      <c r="BVE22" s="515"/>
      <c r="BVF22" s="515"/>
      <c r="BVG22" s="515"/>
      <c r="BVH22" s="515"/>
      <c r="BVI22" s="515"/>
      <c r="BVJ22" s="515"/>
      <c r="BVK22" s="515"/>
      <c r="BVL22" s="515"/>
      <c r="BVM22" s="515"/>
      <c r="BVN22" s="515"/>
      <c r="BVO22" s="515"/>
      <c r="BVP22" s="515"/>
      <c r="BVQ22" s="515"/>
      <c r="BVR22" s="515"/>
      <c r="BVS22" s="515"/>
      <c r="BVT22" s="515"/>
      <c r="BVU22" s="515"/>
      <c r="BVV22" s="515"/>
      <c r="BVW22" s="515"/>
      <c r="BVX22" s="515"/>
      <c r="BVY22" s="515"/>
      <c r="BVZ22" s="515"/>
      <c r="BWA22" s="515"/>
      <c r="BWB22" s="515"/>
      <c r="BWC22" s="515"/>
      <c r="BWD22" s="515"/>
      <c r="BWE22" s="515"/>
      <c r="BWF22" s="515"/>
      <c r="BWG22" s="515"/>
      <c r="BWH22" s="515"/>
      <c r="BWI22" s="515"/>
      <c r="BWJ22" s="515"/>
      <c r="BWK22" s="515"/>
      <c r="BWL22" s="515"/>
      <c r="BWM22" s="515"/>
      <c r="BWN22" s="515"/>
      <c r="BWO22" s="515"/>
      <c r="BWP22" s="515"/>
      <c r="BWQ22" s="515"/>
      <c r="BWR22" s="515"/>
      <c r="BWS22" s="515"/>
      <c r="BWT22" s="515"/>
      <c r="BWU22" s="515"/>
      <c r="BWV22" s="515"/>
      <c r="BWW22" s="515"/>
      <c r="BWX22" s="515"/>
      <c r="BWY22" s="515"/>
      <c r="BWZ22" s="515"/>
      <c r="BXA22" s="515"/>
      <c r="BXB22" s="515"/>
      <c r="BXC22" s="515"/>
      <c r="BXD22" s="515"/>
      <c r="BXE22" s="515"/>
      <c r="BXF22" s="515"/>
      <c r="BXG22" s="515"/>
      <c r="BXH22" s="515"/>
      <c r="BXI22" s="515"/>
      <c r="BXJ22" s="515"/>
      <c r="BXK22" s="515"/>
      <c r="BXL22" s="515"/>
      <c r="BXM22" s="515"/>
      <c r="BXN22" s="515"/>
      <c r="BXO22" s="515"/>
      <c r="BXP22" s="515"/>
      <c r="BXQ22" s="515"/>
      <c r="BXR22" s="515"/>
      <c r="BXS22" s="515"/>
      <c r="BXT22" s="515"/>
      <c r="BXU22" s="515"/>
      <c r="BXV22" s="515"/>
      <c r="BXW22" s="515"/>
      <c r="BXX22" s="515"/>
      <c r="BXY22" s="515"/>
      <c r="BXZ22" s="515"/>
      <c r="BYA22" s="515"/>
      <c r="BYB22" s="515"/>
      <c r="BYC22" s="515"/>
      <c r="BYD22" s="515"/>
      <c r="BYE22" s="515"/>
      <c r="BYF22" s="515"/>
      <c r="BYG22" s="515"/>
      <c r="BYH22" s="515"/>
      <c r="BYI22" s="515"/>
      <c r="BYJ22" s="515"/>
      <c r="BYK22" s="515"/>
      <c r="BYL22" s="515"/>
      <c r="BYM22" s="515"/>
      <c r="BYN22" s="515"/>
      <c r="BYO22" s="515"/>
      <c r="BYP22" s="515"/>
      <c r="BYQ22" s="515"/>
      <c r="BYR22" s="515"/>
      <c r="BYS22" s="515"/>
      <c r="BYT22" s="515"/>
      <c r="BYU22" s="515"/>
      <c r="BYV22" s="515"/>
      <c r="BYW22" s="515"/>
      <c r="BYX22" s="515"/>
      <c r="BYY22" s="515"/>
      <c r="BYZ22" s="515"/>
      <c r="BZA22" s="515"/>
      <c r="BZB22" s="515"/>
      <c r="BZC22" s="515"/>
      <c r="BZD22" s="515"/>
      <c r="BZE22" s="515"/>
      <c r="BZF22" s="515"/>
      <c r="BZG22" s="515"/>
      <c r="BZH22" s="515"/>
      <c r="BZI22" s="515"/>
      <c r="BZJ22" s="515"/>
      <c r="BZK22" s="515"/>
      <c r="BZL22" s="515"/>
      <c r="BZM22" s="515"/>
      <c r="BZN22" s="515"/>
      <c r="BZO22" s="515"/>
      <c r="BZP22" s="515"/>
      <c r="BZQ22" s="515"/>
      <c r="BZR22" s="515"/>
      <c r="BZS22" s="515"/>
      <c r="BZT22" s="515"/>
      <c r="BZU22" s="515"/>
      <c r="BZV22" s="515"/>
      <c r="BZW22" s="515"/>
      <c r="BZX22" s="515"/>
      <c r="BZY22" s="515"/>
      <c r="BZZ22" s="515"/>
      <c r="CAA22" s="515"/>
      <c r="CAB22" s="515"/>
      <c r="CAC22" s="515"/>
      <c r="CAD22" s="515"/>
      <c r="CAE22" s="515"/>
      <c r="CAF22" s="515"/>
      <c r="CAG22" s="515"/>
      <c r="CAH22" s="515"/>
      <c r="CAI22" s="515"/>
      <c r="CAJ22" s="515"/>
      <c r="CAK22" s="515"/>
      <c r="CAL22" s="515"/>
      <c r="CAM22" s="515"/>
      <c r="CAN22" s="515"/>
      <c r="CAO22" s="515"/>
      <c r="CAP22" s="515"/>
      <c r="CAQ22" s="515"/>
      <c r="CAR22" s="515"/>
      <c r="CAS22" s="515"/>
      <c r="CAT22" s="515"/>
      <c r="CAU22" s="515"/>
      <c r="CAV22" s="515"/>
      <c r="CAW22" s="515"/>
      <c r="CAX22" s="515"/>
      <c r="CAY22" s="515"/>
      <c r="CAZ22" s="515"/>
      <c r="CBA22" s="515"/>
      <c r="CBB22" s="515"/>
      <c r="CBC22" s="515"/>
      <c r="CBD22" s="515"/>
      <c r="CBE22" s="515"/>
      <c r="CBF22" s="515"/>
      <c r="CBG22" s="515"/>
      <c r="CBH22" s="515"/>
      <c r="CBI22" s="515"/>
      <c r="CBJ22" s="515"/>
      <c r="CBK22" s="515"/>
      <c r="CBL22" s="515"/>
      <c r="CBM22" s="515"/>
      <c r="CBN22" s="515"/>
      <c r="CBO22" s="515"/>
      <c r="CBP22" s="515"/>
      <c r="CBQ22" s="515"/>
      <c r="CBR22" s="515"/>
      <c r="CBS22" s="515"/>
      <c r="CBT22" s="515"/>
      <c r="CBU22" s="515"/>
      <c r="CBV22" s="515"/>
      <c r="CBW22" s="515"/>
      <c r="CBX22" s="515"/>
      <c r="CBY22" s="515"/>
      <c r="CBZ22" s="515"/>
      <c r="CCA22" s="515"/>
      <c r="CCB22" s="515"/>
      <c r="CCC22" s="515"/>
      <c r="CCD22" s="515"/>
      <c r="CCE22" s="515"/>
      <c r="CCF22" s="515"/>
      <c r="CCG22" s="515"/>
      <c r="CCH22" s="515"/>
      <c r="CCI22" s="515"/>
      <c r="CCJ22" s="515"/>
      <c r="CCK22" s="515"/>
      <c r="CCL22" s="515"/>
      <c r="CCM22" s="515"/>
      <c r="CCN22" s="515"/>
      <c r="CCO22" s="515"/>
      <c r="CCP22" s="515"/>
      <c r="CCQ22" s="515"/>
      <c r="CCR22" s="515"/>
      <c r="CCS22" s="515"/>
      <c r="CCT22" s="515"/>
      <c r="CCU22" s="515"/>
      <c r="CCV22" s="515"/>
      <c r="CCW22" s="515"/>
      <c r="CCX22" s="515"/>
      <c r="CCY22" s="515"/>
      <c r="CCZ22" s="515"/>
      <c r="CDA22" s="515"/>
      <c r="CDB22" s="515"/>
      <c r="CDC22" s="515"/>
      <c r="CDD22" s="515"/>
      <c r="CDE22" s="515"/>
      <c r="CDF22" s="515"/>
      <c r="CDG22" s="515"/>
      <c r="CDH22" s="515"/>
      <c r="CDI22" s="515"/>
      <c r="CDJ22" s="515"/>
      <c r="CDK22" s="515"/>
      <c r="CDL22" s="515"/>
      <c r="CDM22" s="515"/>
      <c r="CDN22" s="515"/>
      <c r="CDO22" s="515"/>
      <c r="CDP22" s="515"/>
      <c r="CDQ22" s="515"/>
      <c r="CDR22" s="515"/>
      <c r="CDS22" s="515"/>
      <c r="CDT22" s="515"/>
      <c r="CDU22" s="515"/>
      <c r="CDV22" s="515"/>
      <c r="CDW22" s="515"/>
      <c r="CDX22" s="515"/>
      <c r="CDY22" s="515"/>
      <c r="CDZ22" s="515"/>
      <c r="CEA22" s="515"/>
      <c r="CEB22" s="515"/>
      <c r="CEC22" s="515"/>
      <c r="CED22" s="515"/>
      <c r="CEE22" s="515"/>
      <c r="CEF22" s="515"/>
      <c r="CEG22" s="515"/>
      <c r="CEH22" s="515"/>
      <c r="CEI22" s="515"/>
      <c r="CEJ22" s="515"/>
      <c r="CEK22" s="515"/>
      <c r="CEL22" s="515"/>
      <c r="CEM22" s="515"/>
      <c r="CEN22" s="515"/>
      <c r="CEO22" s="515"/>
      <c r="CEP22" s="515"/>
      <c r="CEQ22" s="515"/>
      <c r="CER22" s="515"/>
      <c r="CES22" s="515"/>
      <c r="CET22" s="515"/>
      <c r="CEU22" s="515"/>
      <c r="CEV22" s="515"/>
      <c r="CEW22" s="515"/>
      <c r="CEX22" s="515"/>
      <c r="CEY22" s="515"/>
      <c r="CEZ22" s="515"/>
      <c r="CFA22" s="515"/>
      <c r="CFB22" s="515"/>
      <c r="CFC22" s="515"/>
      <c r="CFD22" s="515"/>
      <c r="CFE22" s="515"/>
      <c r="CFF22" s="515"/>
      <c r="CFG22" s="515"/>
      <c r="CFH22" s="515"/>
      <c r="CFI22" s="515"/>
      <c r="CFJ22" s="515"/>
      <c r="CFK22" s="515"/>
      <c r="CFL22" s="515"/>
      <c r="CFM22" s="515"/>
      <c r="CFN22" s="515"/>
      <c r="CFO22" s="515"/>
      <c r="CFP22" s="515"/>
      <c r="CFQ22" s="515"/>
      <c r="CFR22" s="515"/>
      <c r="CFS22" s="515"/>
      <c r="CFT22" s="515"/>
      <c r="CFU22" s="515"/>
      <c r="CFV22" s="515"/>
      <c r="CFW22" s="515"/>
      <c r="CFX22" s="515"/>
      <c r="CFY22" s="515"/>
      <c r="CFZ22" s="515"/>
      <c r="CGA22" s="515"/>
      <c r="CGB22" s="515"/>
      <c r="CGC22" s="515"/>
      <c r="CGD22" s="515"/>
      <c r="CGE22" s="515"/>
      <c r="CGF22" s="515"/>
      <c r="CGG22" s="515"/>
      <c r="CGH22" s="515"/>
      <c r="CGI22" s="515"/>
      <c r="CGJ22" s="515"/>
      <c r="CGK22" s="515"/>
      <c r="CGL22" s="515"/>
      <c r="CGM22" s="515"/>
      <c r="CGN22" s="515"/>
      <c r="CGO22" s="515"/>
      <c r="CGP22" s="515"/>
      <c r="CGQ22" s="515"/>
      <c r="CGR22" s="515"/>
      <c r="CGS22" s="515"/>
      <c r="CGT22" s="515"/>
      <c r="CGU22" s="515"/>
      <c r="CGV22" s="515"/>
      <c r="CGW22" s="515"/>
      <c r="CGX22" s="515"/>
      <c r="CGY22" s="515"/>
      <c r="CGZ22" s="515"/>
      <c r="CHA22" s="515"/>
      <c r="CHB22" s="515"/>
      <c r="CHC22" s="515"/>
      <c r="CHD22" s="515"/>
      <c r="CHE22" s="515"/>
      <c r="CHF22" s="515"/>
      <c r="CHG22" s="515"/>
      <c r="CHH22" s="515"/>
      <c r="CHI22" s="515"/>
      <c r="CHJ22" s="515"/>
      <c r="CHK22" s="515"/>
      <c r="CHL22" s="515"/>
      <c r="CHM22" s="515"/>
      <c r="CHN22" s="515"/>
      <c r="CHO22" s="515"/>
      <c r="CHP22" s="515"/>
      <c r="CHQ22" s="515"/>
      <c r="CHR22" s="515"/>
      <c r="CHS22" s="515"/>
      <c r="CHT22" s="515"/>
      <c r="CHU22" s="515"/>
      <c r="CHV22" s="515"/>
      <c r="CHW22" s="515"/>
      <c r="CHX22" s="515"/>
      <c r="CHY22" s="515"/>
      <c r="CHZ22" s="515"/>
      <c r="CIA22" s="515"/>
      <c r="CIB22" s="515"/>
      <c r="CIC22" s="515"/>
      <c r="CID22" s="515"/>
      <c r="CIE22" s="515"/>
      <c r="CIF22" s="515"/>
      <c r="CIG22" s="515"/>
      <c r="CIH22" s="515"/>
      <c r="CII22" s="515"/>
      <c r="CIJ22" s="515"/>
      <c r="CIK22" s="515"/>
      <c r="CIL22" s="515"/>
      <c r="CIM22" s="515"/>
      <c r="CIN22" s="515"/>
      <c r="CIO22" s="515"/>
      <c r="CIP22" s="515"/>
      <c r="CIQ22" s="515"/>
      <c r="CIR22" s="515"/>
      <c r="CIS22" s="515"/>
      <c r="CIT22" s="515"/>
      <c r="CIU22" s="515"/>
      <c r="CIV22" s="515"/>
      <c r="CIW22" s="515"/>
      <c r="CIX22" s="515"/>
      <c r="CIY22" s="515"/>
      <c r="CIZ22" s="515"/>
      <c r="CJA22" s="515"/>
      <c r="CJB22" s="515"/>
      <c r="CJC22" s="515"/>
      <c r="CJD22" s="515"/>
      <c r="CJE22" s="515"/>
      <c r="CJF22" s="515"/>
      <c r="CJG22" s="515"/>
      <c r="CJH22" s="515"/>
      <c r="CJI22" s="515"/>
      <c r="CJJ22" s="515"/>
      <c r="CJK22" s="515"/>
      <c r="CJL22" s="515"/>
      <c r="CJM22" s="515"/>
      <c r="CJN22" s="515"/>
      <c r="CJO22" s="515"/>
      <c r="CJP22" s="515"/>
      <c r="CJQ22" s="515"/>
      <c r="CJR22" s="515"/>
      <c r="CJS22" s="515"/>
      <c r="CJT22" s="515"/>
      <c r="CJU22" s="515"/>
      <c r="CJV22" s="515"/>
      <c r="CJW22" s="515"/>
      <c r="CJX22" s="515"/>
      <c r="CJY22" s="515"/>
      <c r="CJZ22" s="515"/>
      <c r="CKA22" s="515"/>
      <c r="CKB22" s="515"/>
      <c r="CKC22" s="515"/>
      <c r="CKD22" s="515"/>
      <c r="CKE22" s="515"/>
      <c r="CKF22" s="515"/>
      <c r="CKG22" s="515"/>
      <c r="CKH22" s="515"/>
      <c r="CKI22" s="515"/>
      <c r="CKJ22" s="515"/>
      <c r="CKK22" s="515"/>
      <c r="CKL22" s="515"/>
      <c r="CKM22" s="515"/>
      <c r="CKN22" s="515"/>
      <c r="CKO22" s="515"/>
      <c r="CKP22" s="515"/>
      <c r="CKQ22" s="515"/>
      <c r="CKR22" s="515"/>
      <c r="CKS22" s="515"/>
      <c r="CKT22" s="515"/>
      <c r="CKU22" s="515"/>
      <c r="CKV22" s="515"/>
      <c r="CKW22" s="515"/>
      <c r="CKX22" s="515"/>
      <c r="CKY22" s="515"/>
      <c r="CKZ22" s="515"/>
      <c r="CLA22" s="515"/>
      <c r="CLB22" s="515"/>
      <c r="CLC22" s="515"/>
      <c r="CLD22" s="515"/>
      <c r="CLE22" s="515"/>
      <c r="CLF22" s="515"/>
      <c r="CLG22" s="515"/>
      <c r="CLH22" s="515"/>
      <c r="CLI22" s="515"/>
      <c r="CLJ22" s="515"/>
      <c r="CLK22" s="515"/>
      <c r="CLL22" s="515"/>
      <c r="CLM22" s="515"/>
      <c r="CLN22" s="515"/>
      <c r="CLO22" s="515"/>
      <c r="CLP22" s="515"/>
      <c r="CLQ22" s="515"/>
      <c r="CLR22" s="515"/>
      <c r="CLS22" s="515"/>
      <c r="CLT22" s="515"/>
      <c r="CLU22" s="515"/>
      <c r="CLV22" s="515"/>
      <c r="CLW22" s="515"/>
      <c r="CLX22" s="515"/>
      <c r="CLY22" s="515"/>
      <c r="CLZ22" s="515"/>
      <c r="CMA22" s="515"/>
      <c r="CMB22" s="515"/>
      <c r="CMC22" s="515"/>
      <c r="CMD22" s="515"/>
      <c r="CME22" s="515"/>
      <c r="CMF22" s="515"/>
      <c r="CMG22" s="515"/>
      <c r="CMH22" s="515"/>
      <c r="CMI22" s="515"/>
      <c r="CMJ22" s="515"/>
      <c r="CMK22" s="515"/>
      <c r="CML22" s="515"/>
      <c r="CMM22" s="515"/>
      <c r="CMN22" s="515"/>
      <c r="CMO22" s="515"/>
      <c r="CMP22" s="515"/>
      <c r="CMQ22" s="515"/>
      <c r="CMR22" s="515"/>
      <c r="CMS22" s="515"/>
      <c r="CMT22" s="515"/>
      <c r="CMU22" s="515"/>
      <c r="CMV22" s="515"/>
      <c r="CMW22" s="515"/>
      <c r="CMX22" s="515"/>
      <c r="CMY22" s="515"/>
      <c r="CMZ22" s="515"/>
      <c r="CNA22" s="515"/>
      <c r="CNB22" s="515"/>
      <c r="CNC22" s="515"/>
      <c r="CND22" s="515"/>
      <c r="CNE22" s="515"/>
      <c r="CNF22" s="515"/>
      <c r="CNG22" s="515"/>
      <c r="CNH22" s="515"/>
      <c r="CNI22" s="515"/>
      <c r="CNJ22" s="515"/>
      <c r="CNK22" s="515"/>
      <c r="CNL22" s="515"/>
      <c r="CNM22" s="515"/>
      <c r="CNN22" s="515"/>
      <c r="CNO22" s="515"/>
      <c r="CNP22" s="515"/>
      <c r="CNQ22" s="515"/>
      <c r="CNR22" s="515"/>
      <c r="CNS22" s="515"/>
      <c r="CNT22" s="515"/>
      <c r="CNU22" s="515"/>
      <c r="CNV22" s="515"/>
      <c r="CNW22" s="515"/>
      <c r="CNX22" s="515"/>
      <c r="CNY22" s="515"/>
      <c r="CNZ22" s="515"/>
      <c r="COA22" s="515"/>
      <c r="COB22" s="515"/>
      <c r="COC22" s="515"/>
      <c r="COD22" s="515"/>
      <c r="COE22" s="515"/>
      <c r="COF22" s="515"/>
      <c r="COG22" s="515"/>
      <c r="COH22" s="515"/>
      <c r="COI22" s="515"/>
      <c r="COJ22" s="515"/>
      <c r="COK22" s="515"/>
      <c r="COL22" s="515"/>
      <c r="COM22" s="515"/>
      <c r="CON22" s="515"/>
      <c r="COO22" s="515"/>
      <c r="COP22" s="515"/>
      <c r="COQ22" s="515"/>
      <c r="COR22" s="515"/>
      <c r="COS22" s="515"/>
      <c r="COT22" s="515"/>
      <c r="COU22" s="515"/>
      <c r="COV22" s="515"/>
      <c r="COW22" s="515"/>
      <c r="COX22" s="515"/>
      <c r="COY22" s="515"/>
      <c r="COZ22" s="515"/>
      <c r="CPA22" s="515"/>
      <c r="CPB22" s="515"/>
      <c r="CPC22" s="515"/>
      <c r="CPD22" s="515"/>
      <c r="CPE22" s="515"/>
      <c r="CPF22" s="515"/>
      <c r="CPG22" s="515"/>
      <c r="CPH22" s="515"/>
      <c r="CPI22" s="515"/>
      <c r="CPJ22" s="515"/>
      <c r="CPK22" s="515"/>
      <c r="CPL22" s="515"/>
      <c r="CPM22" s="515"/>
      <c r="CPN22" s="515"/>
      <c r="CPO22" s="515"/>
      <c r="CPP22" s="515"/>
      <c r="CPQ22" s="515"/>
      <c r="CPR22" s="515"/>
      <c r="CPS22" s="515"/>
      <c r="CPT22" s="515"/>
      <c r="CPU22" s="515"/>
      <c r="CPV22" s="515"/>
      <c r="CPW22" s="515"/>
      <c r="CPX22" s="515"/>
      <c r="CPY22" s="515"/>
      <c r="CPZ22" s="515"/>
      <c r="CQA22" s="515"/>
      <c r="CQB22" s="515"/>
      <c r="CQC22" s="515"/>
      <c r="CQD22" s="515"/>
      <c r="CQE22" s="515"/>
      <c r="CQF22" s="515"/>
      <c r="CQG22" s="515"/>
      <c r="CQH22" s="515"/>
      <c r="CQI22" s="515"/>
      <c r="CQJ22" s="515"/>
      <c r="CQK22" s="515"/>
      <c r="CQL22" s="515"/>
      <c r="CQM22" s="515"/>
      <c r="CQN22" s="515"/>
      <c r="CQO22" s="515"/>
      <c r="CQP22" s="515"/>
      <c r="CQQ22" s="515"/>
      <c r="CQR22" s="515"/>
      <c r="CQS22" s="515"/>
      <c r="CQT22" s="515"/>
      <c r="CQU22" s="515"/>
      <c r="CQV22" s="515"/>
      <c r="CQW22" s="515"/>
      <c r="CQX22" s="515"/>
      <c r="CQY22" s="515"/>
      <c r="CQZ22" s="515"/>
      <c r="CRA22" s="515"/>
      <c r="CRB22" s="515"/>
      <c r="CRC22" s="515"/>
      <c r="CRD22" s="515"/>
      <c r="CRE22" s="515"/>
      <c r="CRF22" s="515"/>
      <c r="CRG22" s="515"/>
      <c r="CRH22" s="515"/>
      <c r="CRI22" s="515"/>
      <c r="CRJ22" s="515"/>
      <c r="CRK22" s="515"/>
      <c r="CRL22" s="515"/>
      <c r="CRM22" s="515"/>
      <c r="CRN22" s="515"/>
      <c r="CRO22" s="515"/>
      <c r="CRP22" s="515"/>
      <c r="CRQ22" s="515"/>
      <c r="CRR22" s="515"/>
      <c r="CRS22" s="515"/>
      <c r="CRT22" s="515"/>
      <c r="CRU22" s="515"/>
      <c r="CRV22" s="515"/>
      <c r="CRW22" s="515"/>
      <c r="CRX22" s="515"/>
      <c r="CRY22" s="515"/>
      <c r="CRZ22" s="515"/>
      <c r="CSA22" s="515"/>
      <c r="CSB22" s="515"/>
      <c r="CSC22" s="515"/>
      <c r="CSD22" s="515"/>
      <c r="CSE22" s="515"/>
      <c r="CSF22" s="515"/>
      <c r="CSG22" s="515"/>
      <c r="CSH22" s="515"/>
      <c r="CSI22" s="515"/>
      <c r="CSJ22" s="515"/>
      <c r="CSK22" s="515"/>
      <c r="CSL22" s="515"/>
      <c r="CSM22" s="515"/>
      <c r="CSN22" s="515"/>
      <c r="CSO22" s="515"/>
      <c r="CSP22" s="515"/>
      <c r="CSQ22" s="515"/>
      <c r="CSR22" s="515"/>
      <c r="CSS22" s="515"/>
      <c r="CST22" s="515"/>
      <c r="CSU22" s="515"/>
      <c r="CSV22" s="515"/>
      <c r="CSW22" s="515"/>
      <c r="CSX22" s="515"/>
      <c r="CSY22" s="515"/>
      <c r="CSZ22" s="515"/>
      <c r="CTA22" s="515"/>
      <c r="CTB22" s="515"/>
      <c r="CTC22" s="515"/>
      <c r="CTD22" s="515"/>
      <c r="CTE22" s="515"/>
      <c r="CTF22" s="515"/>
      <c r="CTG22" s="515"/>
      <c r="CTH22" s="515"/>
      <c r="CTI22" s="515"/>
      <c r="CTJ22" s="515"/>
      <c r="CTK22" s="515"/>
      <c r="CTL22" s="515"/>
      <c r="CTM22" s="515"/>
      <c r="CTN22" s="515"/>
      <c r="CTO22" s="515"/>
      <c r="CTP22" s="515"/>
      <c r="CTQ22" s="515"/>
      <c r="CTR22" s="515"/>
      <c r="CTS22" s="515"/>
      <c r="CTT22" s="515"/>
      <c r="CTU22" s="515"/>
      <c r="CTV22" s="515"/>
      <c r="CTW22" s="515"/>
      <c r="CTX22" s="515"/>
      <c r="CTY22" s="515"/>
      <c r="CTZ22" s="515"/>
      <c r="CUA22" s="515"/>
      <c r="CUB22" s="515"/>
      <c r="CUC22" s="515"/>
      <c r="CUD22" s="515"/>
      <c r="CUE22" s="515"/>
      <c r="CUF22" s="515"/>
      <c r="CUG22" s="515"/>
      <c r="CUH22" s="515"/>
      <c r="CUI22" s="515"/>
      <c r="CUJ22" s="515"/>
      <c r="CUK22" s="515"/>
      <c r="CUL22" s="515"/>
      <c r="CUM22" s="515"/>
      <c r="CUN22" s="515"/>
      <c r="CUO22" s="515"/>
      <c r="CUP22" s="515"/>
      <c r="CUQ22" s="515"/>
      <c r="CUR22" s="515"/>
      <c r="CUS22" s="515"/>
      <c r="CUT22" s="515"/>
      <c r="CUU22" s="515"/>
      <c r="CUV22" s="515"/>
      <c r="CUW22" s="515"/>
      <c r="CUX22" s="515"/>
      <c r="CUY22" s="515"/>
      <c r="CUZ22" s="515"/>
      <c r="CVA22" s="515"/>
      <c r="CVB22" s="515"/>
      <c r="CVC22" s="515"/>
      <c r="CVD22" s="515"/>
      <c r="CVE22" s="515"/>
      <c r="CVF22" s="515"/>
      <c r="CVG22" s="515"/>
      <c r="CVH22" s="515"/>
      <c r="CVI22" s="515"/>
      <c r="CVJ22" s="515"/>
      <c r="CVK22" s="515"/>
      <c r="CVL22" s="515"/>
      <c r="CVM22" s="515"/>
      <c r="CVN22" s="515"/>
      <c r="CVO22" s="515"/>
      <c r="CVP22" s="515"/>
      <c r="CVQ22" s="515"/>
      <c r="CVR22" s="515"/>
      <c r="CVS22" s="515"/>
      <c r="CVT22" s="515"/>
      <c r="CVU22" s="515"/>
      <c r="CVV22" s="515"/>
      <c r="CVW22" s="515"/>
      <c r="CVX22" s="515"/>
      <c r="CVY22" s="515"/>
      <c r="CVZ22" s="515"/>
      <c r="CWA22" s="515"/>
      <c r="CWB22" s="515"/>
      <c r="CWC22" s="515"/>
      <c r="CWD22" s="515"/>
      <c r="CWE22" s="515"/>
      <c r="CWF22" s="515"/>
      <c r="CWG22" s="515"/>
      <c r="CWH22" s="515"/>
      <c r="CWI22" s="515"/>
      <c r="CWJ22" s="515"/>
      <c r="CWK22" s="515"/>
      <c r="CWL22" s="515"/>
      <c r="CWM22" s="515"/>
      <c r="CWN22" s="515"/>
      <c r="CWO22" s="515"/>
      <c r="CWP22" s="515"/>
      <c r="CWQ22" s="515"/>
      <c r="CWR22" s="515"/>
      <c r="CWS22" s="515"/>
      <c r="CWT22" s="515"/>
      <c r="CWU22" s="515"/>
      <c r="CWV22" s="515"/>
      <c r="CWW22" s="515"/>
      <c r="CWX22" s="515"/>
      <c r="CWY22" s="515"/>
      <c r="CWZ22" s="515"/>
      <c r="CXA22" s="515"/>
      <c r="CXB22" s="515"/>
      <c r="CXC22" s="515"/>
      <c r="CXD22" s="515"/>
      <c r="CXE22" s="515"/>
      <c r="CXF22" s="515"/>
      <c r="CXG22" s="515"/>
      <c r="CXH22" s="515"/>
      <c r="CXI22" s="515"/>
      <c r="CXJ22" s="515"/>
      <c r="CXK22" s="515"/>
      <c r="CXL22" s="515"/>
      <c r="CXM22" s="515"/>
      <c r="CXN22" s="515"/>
      <c r="CXO22" s="515"/>
      <c r="CXP22" s="515"/>
      <c r="CXQ22" s="515"/>
      <c r="CXR22" s="515"/>
      <c r="CXS22" s="515"/>
      <c r="CXT22" s="515"/>
      <c r="CXU22" s="515"/>
      <c r="CXV22" s="515"/>
      <c r="CXW22" s="515"/>
      <c r="CXX22" s="515"/>
      <c r="CXY22" s="515"/>
      <c r="CXZ22" s="515"/>
      <c r="CYA22" s="515"/>
      <c r="CYB22" s="515"/>
      <c r="CYC22" s="515"/>
      <c r="CYD22" s="515"/>
      <c r="CYE22" s="515"/>
      <c r="CYF22" s="515"/>
      <c r="CYG22" s="515"/>
      <c r="CYH22" s="515"/>
      <c r="CYI22" s="515"/>
      <c r="CYJ22" s="515"/>
      <c r="CYK22" s="515"/>
      <c r="CYL22" s="515"/>
      <c r="CYM22" s="515"/>
      <c r="CYN22" s="515"/>
      <c r="CYO22" s="515"/>
      <c r="CYP22" s="515"/>
      <c r="CYQ22" s="515"/>
      <c r="CYR22" s="515"/>
      <c r="CYS22" s="515"/>
      <c r="CYT22" s="515"/>
      <c r="CYU22" s="515"/>
      <c r="CYV22" s="515"/>
      <c r="CYW22" s="515"/>
      <c r="CYX22" s="515"/>
      <c r="CYY22" s="515"/>
      <c r="CYZ22" s="515"/>
      <c r="CZA22" s="515"/>
      <c r="CZB22" s="515"/>
      <c r="CZC22" s="515"/>
      <c r="CZD22" s="515"/>
      <c r="CZE22" s="515"/>
      <c r="CZF22" s="515"/>
      <c r="CZG22" s="515"/>
      <c r="CZH22" s="515"/>
      <c r="CZI22" s="515"/>
      <c r="CZJ22" s="515"/>
      <c r="CZK22" s="515"/>
      <c r="CZL22" s="515"/>
      <c r="CZM22" s="515"/>
      <c r="CZN22" s="515"/>
      <c r="CZO22" s="515"/>
      <c r="CZP22" s="515"/>
      <c r="CZQ22" s="515"/>
      <c r="CZR22" s="515"/>
      <c r="CZS22" s="515"/>
      <c r="CZT22" s="515"/>
      <c r="CZU22" s="515"/>
      <c r="CZV22" s="515"/>
      <c r="CZW22" s="515"/>
      <c r="CZX22" s="515"/>
      <c r="CZY22" s="515"/>
      <c r="CZZ22" s="515"/>
      <c r="DAA22" s="515"/>
      <c r="DAB22" s="515"/>
      <c r="DAC22" s="515"/>
      <c r="DAD22" s="515"/>
      <c r="DAE22" s="515"/>
      <c r="DAF22" s="515"/>
      <c r="DAG22" s="515"/>
      <c r="DAH22" s="515"/>
      <c r="DAI22" s="515"/>
      <c r="DAJ22" s="515"/>
      <c r="DAK22" s="515"/>
      <c r="DAL22" s="515"/>
      <c r="DAM22" s="515"/>
      <c r="DAN22" s="515"/>
      <c r="DAO22" s="515"/>
      <c r="DAP22" s="515"/>
      <c r="DAQ22" s="515"/>
      <c r="DAR22" s="515"/>
      <c r="DAS22" s="515"/>
      <c r="DAT22" s="515"/>
      <c r="DAU22" s="515"/>
      <c r="DAV22" s="515"/>
      <c r="DAW22" s="515"/>
      <c r="DAX22" s="515"/>
      <c r="DAY22" s="515"/>
      <c r="DAZ22" s="515"/>
      <c r="DBA22" s="515"/>
      <c r="DBB22" s="515"/>
      <c r="DBC22" s="515"/>
      <c r="DBD22" s="515"/>
      <c r="DBE22" s="515"/>
      <c r="DBF22" s="515"/>
      <c r="DBG22" s="515"/>
      <c r="DBH22" s="515"/>
      <c r="DBI22" s="515"/>
      <c r="DBJ22" s="515"/>
      <c r="DBK22" s="515"/>
      <c r="DBL22" s="515"/>
      <c r="DBM22" s="515"/>
      <c r="DBN22" s="515"/>
      <c r="DBO22" s="515"/>
      <c r="DBP22" s="515"/>
      <c r="DBQ22" s="515"/>
      <c r="DBR22" s="515"/>
      <c r="DBS22" s="515"/>
      <c r="DBT22" s="515"/>
      <c r="DBU22" s="515"/>
      <c r="DBV22" s="515"/>
      <c r="DBW22" s="515"/>
      <c r="DBX22" s="515"/>
      <c r="DBY22" s="515"/>
      <c r="DBZ22" s="515"/>
      <c r="DCA22" s="515"/>
      <c r="DCB22" s="515"/>
      <c r="DCC22" s="515"/>
      <c r="DCD22" s="515"/>
      <c r="DCE22" s="515"/>
      <c r="DCF22" s="515"/>
      <c r="DCG22" s="515"/>
      <c r="DCH22" s="515"/>
      <c r="DCI22" s="515"/>
      <c r="DCJ22" s="515"/>
      <c r="DCK22" s="515"/>
      <c r="DCL22" s="515"/>
      <c r="DCM22" s="515"/>
      <c r="DCN22" s="515"/>
      <c r="DCO22" s="515"/>
      <c r="DCP22" s="515"/>
      <c r="DCQ22" s="515"/>
      <c r="DCR22" s="515"/>
      <c r="DCS22" s="515"/>
      <c r="DCT22" s="515"/>
      <c r="DCU22" s="515"/>
      <c r="DCV22" s="515"/>
      <c r="DCW22" s="515"/>
      <c r="DCX22" s="515"/>
      <c r="DCY22" s="515"/>
      <c r="DCZ22" s="515"/>
      <c r="DDA22" s="515"/>
      <c r="DDB22" s="515"/>
      <c r="DDC22" s="515"/>
      <c r="DDD22" s="515"/>
      <c r="DDE22" s="515"/>
      <c r="DDF22" s="515"/>
      <c r="DDG22" s="515"/>
      <c r="DDH22" s="515"/>
      <c r="DDI22" s="515"/>
      <c r="DDJ22" s="515"/>
      <c r="DDK22" s="515"/>
      <c r="DDL22" s="515"/>
      <c r="DDM22" s="515"/>
      <c r="DDN22" s="515"/>
      <c r="DDO22" s="515"/>
      <c r="DDP22" s="515"/>
      <c r="DDQ22" s="515"/>
      <c r="DDR22" s="515"/>
      <c r="DDS22" s="515"/>
      <c r="DDT22" s="515"/>
      <c r="DDU22" s="515"/>
      <c r="DDV22" s="515"/>
      <c r="DDW22" s="515"/>
      <c r="DDX22" s="515"/>
      <c r="DDY22" s="515"/>
      <c r="DDZ22" s="515"/>
      <c r="DEA22" s="515"/>
      <c r="DEB22" s="515"/>
      <c r="DEC22" s="515"/>
      <c r="DED22" s="515"/>
      <c r="DEE22" s="515"/>
      <c r="DEF22" s="515"/>
      <c r="DEG22" s="515"/>
      <c r="DEH22" s="515"/>
      <c r="DEI22" s="515"/>
      <c r="DEJ22" s="515"/>
      <c r="DEK22" s="515"/>
      <c r="DEL22" s="515"/>
      <c r="DEM22" s="515"/>
      <c r="DEN22" s="515"/>
      <c r="DEO22" s="515"/>
      <c r="DEP22" s="515"/>
      <c r="DEQ22" s="515"/>
      <c r="DER22" s="515"/>
      <c r="DES22" s="515"/>
      <c r="DET22" s="515"/>
      <c r="DEU22" s="515"/>
      <c r="DEV22" s="515"/>
      <c r="DEW22" s="515"/>
      <c r="DEX22" s="515"/>
      <c r="DEY22" s="515"/>
      <c r="DEZ22" s="515"/>
      <c r="DFA22" s="515"/>
      <c r="DFB22" s="515"/>
      <c r="DFC22" s="515"/>
      <c r="DFD22" s="515"/>
      <c r="DFE22" s="515"/>
      <c r="DFF22" s="515"/>
      <c r="DFG22" s="515"/>
      <c r="DFH22" s="515"/>
      <c r="DFI22" s="515"/>
      <c r="DFJ22" s="515"/>
      <c r="DFK22" s="515"/>
      <c r="DFL22" s="515"/>
      <c r="DFM22" s="515"/>
      <c r="DFN22" s="515"/>
      <c r="DFO22" s="515"/>
      <c r="DFP22" s="515"/>
      <c r="DFQ22" s="515"/>
      <c r="DFR22" s="515"/>
      <c r="DFS22" s="515"/>
      <c r="DFT22" s="515"/>
      <c r="DFU22" s="515"/>
      <c r="DFV22" s="515"/>
      <c r="DFW22" s="515"/>
      <c r="DFX22" s="515"/>
      <c r="DFY22" s="515"/>
      <c r="DFZ22" s="515"/>
      <c r="DGA22" s="515"/>
      <c r="DGB22" s="515"/>
      <c r="DGC22" s="515"/>
      <c r="DGD22" s="515"/>
      <c r="DGE22" s="515"/>
      <c r="DGF22" s="515"/>
      <c r="DGG22" s="515"/>
      <c r="DGH22" s="515"/>
      <c r="DGI22" s="515"/>
      <c r="DGJ22" s="515"/>
      <c r="DGK22" s="515"/>
      <c r="DGL22" s="515"/>
      <c r="DGM22" s="515"/>
      <c r="DGN22" s="515"/>
      <c r="DGO22" s="515"/>
      <c r="DGP22" s="515"/>
      <c r="DGQ22" s="515"/>
      <c r="DGR22" s="515"/>
      <c r="DGS22" s="515"/>
      <c r="DGT22" s="515"/>
      <c r="DGU22" s="515"/>
      <c r="DGV22" s="515"/>
      <c r="DGW22" s="515"/>
      <c r="DGX22" s="515"/>
      <c r="DGY22" s="515"/>
      <c r="DGZ22" s="515"/>
      <c r="DHA22" s="515"/>
      <c r="DHB22" s="515"/>
      <c r="DHC22" s="515"/>
      <c r="DHD22" s="515"/>
      <c r="DHE22" s="515"/>
      <c r="DHF22" s="515"/>
      <c r="DHG22" s="515"/>
      <c r="DHH22" s="515"/>
      <c r="DHI22" s="515"/>
      <c r="DHJ22" s="515"/>
      <c r="DHK22" s="515"/>
      <c r="DHL22" s="515"/>
      <c r="DHM22" s="515"/>
      <c r="DHN22" s="515"/>
      <c r="DHO22" s="515"/>
      <c r="DHP22" s="515"/>
      <c r="DHQ22" s="515"/>
      <c r="DHR22" s="515"/>
      <c r="DHS22" s="515"/>
      <c r="DHT22" s="515"/>
      <c r="DHU22" s="515"/>
      <c r="DHV22" s="515"/>
      <c r="DHW22" s="515"/>
      <c r="DHX22" s="515"/>
      <c r="DHY22" s="515"/>
      <c r="DHZ22" s="515"/>
      <c r="DIA22" s="515"/>
      <c r="DIB22" s="515"/>
      <c r="DIC22" s="515"/>
      <c r="DID22" s="515"/>
      <c r="DIE22" s="515"/>
      <c r="DIF22" s="515"/>
      <c r="DIG22" s="515"/>
      <c r="DIH22" s="515"/>
      <c r="DII22" s="515"/>
      <c r="DIJ22" s="515"/>
      <c r="DIK22" s="515"/>
      <c r="DIL22" s="515"/>
      <c r="DIM22" s="515"/>
      <c r="DIN22" s="515"/>
      <c r="DIO22" s="515"/>
      <c r="DIP22" s="515"/>
      <c r="DIQ22" s="515"/>
      <c r="DIR22" s="515"/>
      <c r="DIS22" s="515"/>
      <c r="DIT22" s="515"/>
      <c r="DIU22" s="515"/>
      <c r="DIV22" s="515"/>
      <c r="DIW22" s="515"/>
      <c r="DIX22" s="515"/>
      <c r="DIY22" s="515"/>
      <c r="DIZ22" s="515"/>
      <c r="DJA22" s="515"/>
      <c r="DJB22" s="515"/>
      <c r="DJC22" s="515"/>
      <c r="DJD22" s="515"/>
      <c r="DJE22" s="515"/>
      <c r="DJF22" s="515"/>
      <c r="DJG22" s="515"/>
      <c r="DJH22" s="515"/>
      <c r="DJI22" s="515"/>
      <c r="DJJ22" s="515"/>
      <c r="DJK22" s="515"/>
      <c r="DJL22" s="515"/>
      <c r="DJM22" s="515"/>
      <c r="DJN22" s="515"/>
      <c r="DJO22" s="515"/>
      <c r="DJP22" s="515"/>
      <c r="DJQ22" s="515"/>
      <c r="DJR22" s="515"/>
      <c r="DJS22" s="515"/>
      <c r="DJT22" s="515"/>
      <c r="DJU22" s="515"/>
      <c r="DJV22" s="515"/>
      <c r="DJW22" s="515"/>
      <c r="DJX22" s="515"/>
      <c r="DJY22" s="515"/>
      <c r="DJZ22" s="515"/>
      <c r="DKA22" s="515"/>
      <c r="DKB22" s="515"/>
      <c r="DKC22" s="515"/>
      <c r="DKD22" s="515"/>
      <c r="DKE22" s="515"/>
      <c r="DKF22" s="515"/>
      <c r="DKG22" s="515"/>
      <c r="DKH22" s="515"/>
      <c r="DKI22" s="515"/>
      <c r="DKJ22" s="515"/>
      <c r="DKK22" s="515"/>
      <c r="DKL22" s="515"/>
      <c r="DKM22" s="515"/>
      <c r="DKN22" s="515"/>
      <c r="DKO22" s="515"/>
      <c r="DKP22" s="515"/>
      <c r="DKQ22" s="515"/>
      <c r="DKR22" s="515"/>
      <c r="DKS22" s="515"/>
      <c r="DKT22" s="515"/>
      <c r="DKU22" s="515"/>
      <c r="DKV22" s="515"/>
      <c r="DKW22" s="515"/>
      <c r="DKX22" s="515"/>
      <c r="DKY22" s="515"/>
      <c r="DKZ22" s="515"/>
      <c r="DLA22" s="515"/>
      <c r="DLB22" s="515"/>
      <c r="DLC22" s="515"/>
      <c r="DLD22" s="515"/>
      <c r="DLE22" s="515"/>
      <c r="DLF22" s="515"/>
      <c r="DLG22" s="515"/>
      <c r="DLH22" s="515"/>
      <c r="DLI22" s="515"/>
      <c r="DLJ22" s="515"/>
      <c r="DLK22" s="515"/>
      <c r="DLL22" s="515"/>
      <c r="DLM22" s="515"/>
      <c r="DLN22" s="515"/>
      <c r="DLO22" s="515"/>
      <c r="DLP22" s="515"/>
      <c r="DLQ22" s="515"/>
      <c r="DLR22" s="515"/>
      <c r="DLS22" s="515"/>
      <c r="DLT22" s="515"/>
      <c r="DLU22" s="515"/>
      <c r="DLV22" s="515"/>
      <c r="DLW22" s="515"/>
      <c r="DLX22" s="515"/>
      <c r="DLY22" s="515"/>
      <c r="DLZ22" s="515"/>
      <c r="DMA22" s="515"/>
      <c r="DMB22" s="515"/>
      <c r="DMC22" s="515"/>
      <c r="DMD22" s="515"/>
      <c r="DME22" s="515"/>
      <c r="DMF22" s="515"/>
      <c r="DMG22" s="515"/>
      <c r="DMH22" s="515"/>
      <c r="DMI22" s="515"/>
      <c r="DMJ22" s="515"/>
      <c r="DMK22" s="515"/>
      <c r="DML22" s="515"/>
      <c r="DMM22" s="515"/>
      <c r="DMN22" s="515"/>
      <c r="DMO22" s="515"/>
      <c r="DMP22" s="515"/>
      <c r="DMQ22" s="515"/>
      <c r="DMR22" s="515"/>
      <c r="DMS22" s="515"/>
      <c r="DMT22" s="515"/>
      <c r="DMU22" s="515"/>
      <c r="DMV22" s="515"/>
      <c r="DMW22" s="515"/>
      <c r="DMX22" s="515"/>
      <c r="DMY22" s="515"/>
      <c r="DMZ22" s="515"/>
      <c r="DNA22" s="515"/>
      <c r="DNB22" s="515"/>
      <c r="DNC22" s="515"/>
      <c r="DND22" s="515"/>
      <c r="DNE22" s="515"/>
      <c r="DNF22" s="515"/>
      <c r="DNG22" s="515"/>
      <c r="DNH22" s="515"/>
      <c r="DNI22" s="515"/>
      <c r="DNJ22" s="515"/>
      <c r="DNK22" s="515"/>
      <c r="DNL22" s="515"/>
      <c r="DNM22" s="515"/>
      <c r="DNN22" s="515"/>
      <c r="DNO22" s="515"/>
      <c r="DNP22" s="515"/>
      <c r="DNQ22" s="515"/>
      <c r="DNR22" s="515"/>
      <c r="DNS22" s="515"/>
      <c r="DNT22" s="515"/>
      <c r="DNU22" s="515"/>
      <c r="DNV22" s="515"/>
      <c r="DNW22" s="515"/>
      <c r="DNX22" s="515"/>
      <c r="DNY22" s="515"/>
      <c r="DNZ22" s="515"/>
      <c r="DOA22" s="515"/>
      <c r="DOB22" s="515"/>
      <c r="DOC22" s="515"/>
      <c r="DOD22" s="515"/>
      <c r="DOE22" s="515"/>
      <c r="DOF22" s="515"/>
      <c r="DOG22" s="515"/>
      <c r="DOH22" s="515"/>
      <c r="DOI22" s="515"/>
      <c r="DOJ22" s="515"/>
      <c r="DOK22" s="515"/>
      <c r="DOL22" s="515"/>
      <c r="DOM22" s="515"/>
      <c r="DON22" s="515"/>
      <c r="DOO22" s="515"/>
      <c r="DOP22" s="515"/>
      <c r="DOQ22" s="515"/>
      <c r="DOR22" s="515"/>
      <c r="DOS22" s="515"/>
      <c r="DOT22" s="515"/>
      <c r="DOU22" s="515"/>
      <c r="DOV22" s="515"/>
      <c r="DOW22" s="515"/>
      <c r="DOX22" s="515"/>
      <c r="DOY22" s="515"/>
      <c r="DOZ22" s="515"/>
      <c r="DPA22" s="515"/>
      <c r="DPB22" s="515"/>
      <c r="DPC22" s="515"/>
      <c r="DPD22" s="515"/>
      <c r="DPE22" s="515"/>
      <c r="DPF22" s="515"/>
      <c r="DPG22" s="515"/>
      <c r="DPH22" s="515"/>
      <c r="DPI22" s="515"/>
      <c r="DPJ22" s="515"/>
      <c r="DPK22" s="515"/>
      <c r="DPL22" s="515"/>
      <c r="DPM22" s="515"/>
      <c r="DPN22" s="515"/>
      <c r="DPO22" s="515"/>
      <c r="DPP22" s="515"/>
      <c r="DPQ22" s="515"/>
      <c r="DPR22" s="515"/>
      <c r="DPS22" s="515"/>
      <c r="DPT22" s="515"/>
      <c r="DPU22" s="515"/>
      <c r="DPV22" s="515"/>
      <c r="DPW22" s="515"/>
      <c r="DPX22" s="515"/>
      <c r="DPY22" s="515"/>
      <c r="DPZ22" s="515"/>
      <c r="DQA22" s="515"/>
      <c r="DQB22" s="515"/>
      <c r="DQC22" s="515"/>
      <c r="DQD22" s="515"/>
      <c r="DQE22" s="515"/>
      <c r="DQF22" s="515"/>
      <c r="DQG22" s="515"/>
      <c r="DQH22" s="515"/>
      <c r="DQI22" s="515"/>
      <c r="DQJ22" s="515"/>
      <c r="DQK22" s="515"/>
      <c r="DQL22" s="515"/>
      <c r="DQM22" s="515"/>
      <c r="DQN22" s="515"/>
      <c r="DQO22" s="515"/>
      <c r="DQP22" s="515"/>
      <c r="DQQ22" s="515"/>
      <c r="DQR22" s="515"/>
      <c r="DQS22" s="515"/>
      <c r="DQT22" s="515"/>
      <c r="DQU22" s="515"/>
      <c r="DQV22" s="515"/>
      <c r="DQW22" s="515"/>
      <c r="DQX22" s="515"/>
      <c r="DQY22" s="515"/>
      <c r="DQZ22" s="515"/>
      <c r="DRA22" s="515"/>
      <c r="DRB22" s="515"/>
      <c r="DRC22" s="515"/>
      <c r="DRD22" s="515"/>
      <c r="DRE22" s="515"/>
      <c r="DRF22" s="515"/>
      <c r="DRG22" s="515"/>
      <c r="DRH22" s="515"/>
      <c r="DRI22" s="515"/>
      <c r="DRJ22" s="515"/>
      <c r="DRK22" s="515"/>
      <c r="DRL22" s="515"/>
      <c r="DRM22" s="515"/>
      <c r="DRN22" s="515"/>
      <c r="DRO22" s="515"/>
      <c r="DRP22" s="515"/>
      <c r="DRQ22" s="515"/>
      <c r="DRR22" s="515"/>
      <c r="DRS22" s="515"/>
      <c r="DRT22" s="515"/>
      <c r="DRU22" s="515"/>
      <c r="DRV22" s="515"/>
      <c r="DRW22" s="515"/>
      <c r="DRX22" s="515"/>
      <c r="DRY22" s="515"/>
      <c r="DRZ22" s="515"/>
      <c r="DSA22" s="515"/>
      <c r="DSB22" s="515"/>
      <c r="DSC22" s="515"/>
      <c r="DSD22" s="515"/>
      <c r="DSE22" s="515"/>
      <c r="DSF22" s="515"/>
      <c r="DSG22" s="515"/>
      <c r="DSH22" s="515"/>
      <c r="DSI22" s="515"/>
      <c r="DSJ22" s="515"/>
      <c r="DSK22" s="515"/>
      <c r="DSL22" s="515"/>
      <c r="DSM22" s="515"/>
      <c r="DSN22" s="515"/>
      <c r="DSO22" s="515"/>
      <c r="DSP22" s="515"/>
      <c r="DSQ22" s="515"/>
      <c r="DSR22" s="515"/>
      <c r="DSS22" s="515"/>
      <c r="DST22" s="515"/>
      <c r="DSU22" s="515"/>
      <c r="DSV22" s="515"/>
      <c r="DSW22" s="515"/>
      <c r="DSX22" s="515"/>
      <c r="DSY22" s="515"/>
      <c r="DSZ22" s="515"/>
      <c r="DTA22" s="515"/>
      <c r="DTB22" s="515"/>
      <c r="DTC22" s="515"/>
      <c r="DTD22" s="515"/>
      <c r="DTE22" s="515"/>
      <c r="DTF22" s="515"/>
      <c r="DTG22" s="515"/>
      <c r="DTH22" s="515"/>
      <c r="DTI22" s="515"/>
      <c r="DTJ22" s="515"/>
      <c r="DTK22" s="515"/>
      <c r="DTL22" s="515"/>
      <c r="DTM22" s="515"/>
      <c r="DTN22" s="515"/>
      <c r="DTO22" s="515"/>
      <c r="DTP22" s="515"/>
      <c r="DTQ22" s="515"/>
      <c r="DTR22" s="515"/>
      <c r="DTS22" s="515"/>
      <c r="DTT22" s="515"/>
      <c r="DTU22" s="515"/>
      <c r="DTV22" s="515"/>
      <c r="DTW22" s="515"/>
      <c r="DTX22" s="515"/>
      <c r="DTY22" s="515"/>
      <c r="DTZ22" s="515"/>
      <c r="DUA22" s="515"/>
      <c r="DUB22" s="515"/>
      <c r="DUC22" s="515"/>
      <c r="DUD22" s="515"/>
      <c r="DUE22" s="515"/>
      <c r="DUF22" s="515"/>
      <c r="DUG22" s="515"/>
      <c r="DUH22" s="515"/>
      <c r="DUI22" s="515"/>
      <c r="DUJ22" s="515"/>
      <c r="DUK22" s="515"/>
      <c r="DUL22" s="515"/>
      <c r="DUM22" s="515"/>
      <c r="DUN22" s="515"/>
      <c r="DUO22" s="515"/>
      <c r="DUP22" s="515"/>
      <c r="DUQ22" s="515"/>
      <c r="DUR22" s="515"/>
      <c r="DUS22" s="515"/>
      <c r="DUT22" s="515"/>
      <c r="DUU22" s="515"/>
      <c r="DUV22" s="515"/>
      <c r="DUW22" s="515"/>
      <c r="DUX22" s="515"/>
      <c r="DUY22" s="515"/>
      <c r="DUZ22" s="515"/>
      <c r="DVA22" s="515"/>
      <c r="DVB22" s="515"/>
      <c r="DVC22" s="515"/>
      <c r="DVD22" s="515"/>
      <c r="DVE22" s="515"/>
      <c r="DVF22" s="515"/>
      <c r="DVG22" s="515"/>
      <c r="DVH22" s="515"/>
      <c r="DVI22" s="515"/>
      <c r="DVJ22" s="515"/>
      <c r="DVK22" s="515"/>
      <c r="DVL22" s="515"/>
      <c r="DVM22" s="515"/>
      <c r="DVN22" s="515"/>
      <c r="DVO22" s="515"/>
      <c r="DVP22" s="515"/>
      <c r="DVQ22" s="515"/>
      <c r="DVR22" s="515"/>
      <c r="DVS22" s="515"/>
      <c r="DVT22" s="515"/>
      <c r="DVU22" s="515"/>
      <c r="DVV22" s="515"/>
      <c r="DVW22" s="515"/>
      <c r="DVX22" s="515"/>
      <c r="DVY22" s="515"/>
      <c r="DVZ22" s="515"/>
      <c r="DWA22" s="515"/>
      <c r="DWB22" s="515"/>
      <c r="DWC22" s="515"/>
      <c r="DWD22" s="515"/>
      <c r="DWE22" s="515"/>
      <c r="DWF22" s="515"/>
      <c r="DWG22" s="515"/>
      <c r="DWH22" s="515"/>
      <c r="DWI22" s="515"/>
      <c r="DWJ22" s="515"/>
      <c r="DWK22" s="515"/>
      <c r="DWL22" s="515"/>
      <c r="DWM22" s="515"/>
      <c r="DWN22" s="515"/>
      <c r="DWO22" s="515"/>
      <c r="DWP22" s="515"/>
      <c r="DWQ22" s="515"/>
      <c r="DWR22" s="515"/>
      <c r="DWS22" s="515"/>
      <c r="DWT22" s="515"/>
      <c r="DWU22" s="515"/>
      <c r="DWV22" s="515"/>
      <c r="DWW22" s="515"/>
      <c r="DWX22" s="515"/>
      <c r="DWY22" s="515"/>
      <c r="DWZ22" s="515"/>
      <c r="DXA22" s="515"/>
      <c r="DXB22" s="515"/>
      <c r="DXC22" s="515"/>
      <c r="DXD22" s="515"/>
      <c r="DXE22" s="515"/>
      <c r="DXF22" s="515"/>
      <c r="DXG22" s="515"/>
      <c r="DXH22" s="515"/>
      <c r="DXI22" s="515"/>
      <c r="DXJ22" s="515"/>
      <c r="DXK22" s="515"/>
      <c r="DXL22" s="515"/>
      <c r="DXM22" s="515"/>
      <c r="DXN22" s="515"/>
      <c r="DXO22" s="515"/>
      <c r="DXP22" s="515"/>
      <c r="DXQ22" s="515"/>
      <c r="DXR22" s="515"/>
      <c r="DXS22" s="515"/>
      <c r="DXT22" s="515"/>
      <c r="DXU22" s="515"/>
      <c r="DXV22" s="515"/>
      <c r="DXW22" s="515"/>
      <c r="DXX22" s="515"/>
      <c r="DXY22" s="515"/>
      <c r="DXZ22" s="515"/>
      <c r="DYA22" s="515"/>
      <c r="DYB22" s="515"/>
      <c r="DYC22" s="515"/>
      <c r="DYD22" s="515"/>
      <c r="DYE22" s="515"/>
      <c r="DYF22" s="515"/>
      <c r="DYG22" s="515"/>
      <c r="DYH22" s="515"/>
      <c r="DYI22" s="515"/>
      <c r="DYJ22" s="515"/>
      <c r="DYK22" s="515"/>
      <c r="DYL22" s="515"/>
      <c r="DYM22" s="515"/>
      <c r="DYN22" s="515"/>
      <c r="DYO22" s="515"/>
      <c r="DYP22" s="515"/>
      <c r="DYQ22" s="515"/>
      <c r="DYR22" s="515"/>
      <c r="DYS22" s="515"/>
      <c r="DYT22" s="515"/>
      <c r="DYU22" s="515"/>
      <c r="DYV22" s="515"/>
      <c r="DYW22" s="515"/>
      <c r="DYX22" s="515"/>
      <c r="DYY22" s="515"/>
      <c r="DYZ22" s="515"/>
      <c r="DZA22" s="515"/>
      <c r="DZB22" s="515"/>
      <c r="DZC22" s="515"/>
      <c r="DZD22" s="515"/>
      <c r="DZE22" s="515"/>
      <c r="DZF22" s="515"/>
      <c r="DZG22" s="515"/>
      <c r="DZH22" s="515"/>
      <c r="DZI22" s="515"/>
      <c r="DZJ22" s="515"/>
      <c r="DZK22" s="515"/>
      <c r="DZL22" s="515"/>
      <c r="DZM22" s="515"/>
      <c r="DZN22" s="515"/>
      <c r="DZO22" s="515"/>
      <c r="DZP22" s="515"/>
      <c r="DZQ22" s="515"/>
      <c r="DZR22" s="515"/>
      <c r="DZS22" s="515"/>
      <c r="DZT22" s="515"/>
      <c r="DZU22" s="515"/>
      <c r="DZV22" s="515"/>
      <c r="DZW22" s="515"/>
      <c r="DZX22" s="515"/>
      <c r="DZY22" s="515"/>
      <c r="DZZ22" s="515"/>
      <c r="EAA22" s="515"/>
      <c r="EAB22" s="515"/>
      <c r="EAC22" s="515"/>
      <c r="EAD22" s="515"/>
      <c r="EAE22" s="515"/>
      <c r="EAF22" s="515"/>
      <c r="EAG22" s="515"/>
      <c r="EAH22" s="515"/>
      <c r="EAI22" s="515"/>
      <c r="EAJ22" s="515"/>
      <c r="EAK22" s="515"/>
      <c r="EAL22" s="515"/>
      <c r="EAM22" s="515"/>
      <c r="EAN22" s="515"/>
      <c r="EAO22" s="515"/>
      <c r="EAP22" s="515"/>
      <c r="EAQ22" s="515"/>
      <c r="EAR22" s="515"/>
      <c r="EAS22" s="515"/>
      <c r="EAT22" s="515"/>
      <c r="EAU22" s="515"/>
      <c r="EAV22" s="515"/>
      <c r="EAW22" s="515"/>
      <c r="EAX22" s="515"/>
      <c r="EAY22" s="515"/>
      <c r="EAZ22" s="515"/>
      <c r="EBA22" s="515"/>
      <c r="EBB22" s="515"/>
      <c r="EBC22" s="515"/>
      <c r="EBD22" s="515"/>
      <c r="EBE22" s="515"/>
      <c r="EBF22" s="515"/>
      <c r="EBG22" s="515"/>
      <c r="EBH22" s="515"/>
      <c r="EBI22" s="515"/>
      <c r="EBJ22" s="515"/>
      <c r="EBK22" s="515"/>
      <c r="EBL22" s="515"/>
      <c r="EBM22" s="515"/>
      <c r="EBN22" s="515"/>
      <c r="EBO22" s="515"/>
      <c r="EBP22" s="515"/>
      <c r="EBQ22" s="515"/>
      <c r="EBR22" s="515"/>
      <c r="EBS22" s="515"/>
      <c r="EBT22" s="515"/>
      <c r="EBU22" s="515"/>
      <c r="EBV22" s="515"/>
      <c r="EBW22" s="515"/>
      <c r="EBX22" s="515"/>
      <c r="EBY22" s="515"/>
      <c r="EBZ22" s="515"/>
      <c r="ECA22" s="515"/>
      <c r="ECB22" s="515"/>
      <c r="ECC22" s="515"/>
      <c r="ECD22" s="515"/>
      <c r="ECE22" s="515"/>
      <c r="ECF22" s="515"/>
      <c r="ECG22" s="515"/>
      <c r="ECH22" s="515"/>
      <c r="ECI22" s="515"/>
      <c r="ECJ22" s="515"/>
      <c r="ECK22" s="515"/>
      <c r="ECL22" s="515"/>
      <c r="ECM22" s="515"/>
      <c r="ECN22" s="515"/>
      <c r="ECO22" s="515"/>
      <c r="ECP22" s="515"/>
      <c r="ECQ22" s="515"/>
      <c r="ECR22" s="515"/>
      <c r="ECS22" s="515"/>
      <c r="ECT22" s="515"/>
      <c r="ECU22" s="515"/>
      <c r="ECV22" s="515"/>
      <c r="ECW22" s="515"/>
      <c r="ECX22" s="515"/>
      <c r="ECY22" s="515"/>
      <c r="ECZ22" s="515"/>
      <c r="EDA22" s="515"/>
      <c r="EDB22" s="515"/>
      <c r="EDC22" s="515"/>
      <c r="EDD22" s="515"/>
      <c r="EDE22" s="515"/>
      <c r="EDF22" s="515"/>
      <c r="EDG22" s="515"/>
      <c r="EDH22" s="515"/>
      <c r="EDI22" s="515"/>
      <c r="EDJ22" s="515"/>
      <c r="EDK22" s="515"/>
      <c r="EDL22" s="515"/>
      <c r="EDM22" s="515"/>
      <c r="EDN22" s="515"/>
      <c r="EDO22" s="515"/>
      <c r="EDP22" s="515"/>
      <c r="EDQ22" s="515"/>
      <c r="EDR22" s="515"/>
      <c r="EDS22" s="515"/>
      <c r="EDT22" s="515"/>
      <c r="EDU22" s="515"/>
      <c r="EDV22" s="515"/>
      <c r="EDW22" s="515"/>
      <c r="EDX22" s="515"/>
      <c r="EDY22" s="515"/>
      <c r="EDZ22" s="515"/>
      <c r="EEA22" s="515"/>
      <c r="EEB22" s="515"/>
      <c r="EEC22" s="515"/>
      <c r="EED22" s="515"/>
      <c r="EEE22" s="515"/>
      <c r="EEF22" s="515"/>
      <c r="EEG22" s="515"/>
      <c r="EEH22" s="515"/>
      <c r="EEI22" s="515"/>
      <c r="EEJ22" s="515"/>
      <c r="EEK22" s="515"/>
      <c r="EEL22" s="515"/>
      <c r="EEM22" s="515"/>
      <c r="EEN22" s="515"/>
      <c r="EEO22" s="515"/>
      <c r="EEP22" s="515"/>
      <c r="EEQ22" s="515"/>
      <c r="EER22" s="515"/>
      <c r="EES22" s="515"/>
      <c r="EET22" s="515"/>
      <c r="EEU22" s="515"/>
      <c r="EEV22" s="515"/>
      <c r="EEW22" s="515"/>
      <c r="EEX22" s="515"/>
      <c r="EEY22" s="515"/>
      <c r="EEZ22" s="515"/>
      <c r="EFA22" s="515"/>
      <c r="EFB22" s="515"/>
      <c r="EFC22" s="515"/>
      <c r="EFD22" s="515"/>
      <c r="EFE22" s="515"/>
      <c r="EFF22" s="515"/>
      <c r="EFG22" s="515"/>
      <c r="EFH22" s="515"/>
      <c r="EFI22" s="515"/>
      <c r="EFJ22" s="515"/>
      <c r="EFK22" s="515"/>
      <c r="EFL22" s="515"/>
      <c r="EFM22" s="515"/>
      <c r="EFN22" s="515"/>
      <c r="EFO22" s="515"/>
      <c r="EFP22" s="515"/>
      <c r="EFQ22" s="515"/>
      <c r="EFR22" s="515"/>
      <c r="EFS22" s="515"/>
      <c r="EFT22" s="515"/>
      <c r="EFU22" s="515"/>
      <c r="EFV22" s="515"/>
      <c r="EFW22" s="515"/>
      <c r="EFX22" s="515"/>
      <c r="EFY22" s="515"/>
      <c r="EFZ22" s="515"/>
      <c r="EGA22" s="515"/>
      <c r="EGB22" s="515"/>
      <c r="EGC22" s="515"/>
      <c r="EGD22" s="515"/>
      <c r="EGE22" s="515"/>
      <c r="EGF22" s="515"/>
      <c r="EGG22" s="515"/>
      <c r="EGH22" s="515"/>
      <c r="EGI22" s="515"/>
      <c r="EGJ22" s="515"/>
      <c r="EGK22" s="515"/>
      <c r="EGL22" s="515"/>
      <c r="EGM22" s="515"/>
      <c r="EGN22" s="515"/>
      <c r="EGO22" s="515"/>
      <c r="EGP22" s="515"/>
      <c r="EGQ22" s="515"/>
      <c r="EGR22" s="515"/>
      <c r="EGS22" s="515"/>
      <c r="EGT22" s="515"/>
      <c r="EGU22" s="515"/>
      <c r="EGV22" s="515"/>
      <c r="EGW22" s="515"/>
      <c r="EGX22" s="515"/>
      <c r="EGY22" s="515"/>
      <c r="EGZ22" s="515"/>
      <c r="EHA22" s="515"/>
      <c r="EHB22" s="515"/>
      <c r="EHC22" s="515"/>
      <c r="EHD22" s="515"/>
      <c r="EHE22" s="515"/>
      <c r="EHF22" s="515"/>
      <c r="EHG22" s="515"/>
      <c r="EHH22" s="515"/>
      <c r="EHI22" s="515"/>
      <c r="EHJ22" s="515"/>
      <c r="EHK22" s="515"/>
      <c r="EHL22" s="515"/>
      <c r="EHM22" s="515"/>
      <c r="EHN22" s="515"/>
      <c r="EHO22" s="515"/>
      <c r="EHP22" s="515"/>
      <c r="EHQ22" s="515"/>
      <c r="EHR22" s="515"/>
      <c r="EHS22" s="515"/>
      <c r="EHT22" s="515"/>
      <c r="EHU22" s="515"/>
      <c r="EHV22" s="515"/>
      <c r="EHW22" s="515"/>
      <c r="EHX22" s="515"/>
      <c r="EHY22" s="515"/>
      <c r="EHZ22" s="515"/>
      <c r="EIA22" s="515"/>
      <c r="EIB22" s="515"/>
      <c r="EIC22" s="515"/>
      <c r="EID22" s="515"/>
      <c r="EIE22" s="515"/>
      <c r="EIF22" s="515"/>
      <c r="EIG22" s="515"/>
      <c r="EIH22" s="515"/>
      <c r="EII22" s="515"/>
      <c r="EIJ22" s="515"/>
      <c r="EIK22" s="515"/>
      <c r="EIL22" s="515"/>
      <c r="EIM22" s="515"/>
      <c r="EIN22" s="515"/>
      <c r="EIO22" s="515"/>
      <c r="EIP22" s="515"/>
      <c r="EIQ22" s="515"/>
      <c r="EIR22" s="515"/>
      <c r="EIS22" s="515"/>
      <c r="EIT22" s="515"/>
      <c r="EIU22" s="515"/>
      <c r="EIV22" s="515"/>
      <c r="EIW22" s="515"/>
      <c r="EIX22" s="515"/>
      <c r="EIY22" s="515"/>
      <c r="EIZ22" s="515"/>
      <c r="EJA22" s="515"/>
      <c r="EJB22" s="515"/>
      <c r="EJC22" s="515"/>
      <c r="EJD22" s="515"/>
      <c r="EJE22" s="515"/>
      <c r="EJF22" s="515"/>
      <c r="EJG22" s="515"/>
      <c r="EJH22" s="515"/>
      <c r="EJI22" s="515"/>
      <c r="EJJ22" s="515"/>
      <c r="EJK22" s="515"/>
      <c r="EJL22" s="515"/>
      <c r="EJM22" s="515"/>
      <c r="EJN22" s="515"/>
      <c r="EJO22" s="515"/>
      <c r="EJP22" s="515"/>
      <c r="EJQ22" s="515"/>
      <c r="EJR22" s="515"/>
      <c r="EJS22" s="515"/>
      <c r="EJT22" s="515"/>
      <c r="EJU22" s="515"/>
      <c r="EJV22" s="515"/>
      <c r="EJW22" s="515"/>
      <c r="EJX22" s="515"/>
      <c r="EJY22" s="515"/>
      <c r="EJZ22" s="515"/>
      <c r="EKA22" s="515"/>
      <c r="EKB22" s="515"/>
      <c r="EKC22" s="515"/>
      <c r="EKD22" s="515"/>
      <c r="EKE22" s="515"/>
      <c r="EKF22" s="515"/>
      <c r="EKG22" s="515"/>
      <c r="EKH22" s="515"/>
      <c r="EKI22" s="515"/>
      <c r="EKJ22" s="515"/>
      <c r="EKK22" s="515"/>
      <c r="EKL22" s="515"/>
      <c r="EKM22" s="515"/>
      <c r="EKN22" s="515"/>
      <c r="EKO22" s="515"/>
      <c r="EKP22" s="515"/>
      <c r="EKQ22" s="515"/>
      <c r="EKR22" s="515"/>
      <c r="EKS22" s="515"/>
      <c r="EKT22" s="515"/>
      <c r="EKU22" s="515"/>
      <c r="EKV22" s="515"/>
      <c r="EKW22" s="515"/>
      <c r="EKX22" s="515"/>
      <c r="EKY22" s="515"/>
      <c r="EKZ22" s="515"/>
      <c r="ELA22" s="515"/>
      <c r="ELB22" s="515"/>
      <c r="ELC22" s="515"/>
      <c r="ELD22" s="515"/>
      <c r="ELE22" s="515"/>
      <c r="ELF22" s="515"/>
      <c r="ELG22" s="515"/>
      <c r="ELH22" s="515"/>
      <c r="ELI22" s="515"/>
      <c r="ELJ22" s="515"/>
      <c r="ELK22" s="515"/>
      <c r="ELL22" s="515"/>
      <c r="ELM22" s="515"/>
      <c r="ELN22" s="515"/>
      <c r="ELO22" s="515"/>
      <c r="ELP22" s="515"/>
      <c r="ELQ22" s="515"/>
      <c r="ELR22" s="515"/>
      <c r="ELS22" s="515"/>
      <c r="ELT22" s="515"/>
      <c r="ELU22" s="515"/>
      <c r="ELV22" s="515"/>
      <c r="ELW22" s="515"/>
      <c r="ELX22" s="515"/>
      <c r="ELY22" s="515"/>
      <c r="ELZ22" s="515"/>
      <c r="EMA22" s="515"/>
      <c r="EMB22" s="515"/>
      <c r="EMC22" s="515"/>
      <c r="EMD22" s="515"/>
      <c r="EME22" s="515"/>
      <c r="EMF22" s="515"/>
      <c r="EMG22" s="515"/>
      <c r="EMH22" s="515"/>
      <c r="EMI22" s="515"/>
      <c r="EMJ22" s="515"/>
      <c r="EMK22" s="515"/>
      <c r="EML22" s="515"/>
      <c r="EMM22" s="515"/>
      <c r="EMN22" s="515"/>
      <c r="EMO22" s="515"/>
      <c r="EMP22" s="515"/>
      <c r="EMQ22" s="515"/>
      <c r="EMR22" s="515"/>
      <c r="EMS22" s="515"/>
      <c r="EMT22" s="515"/>
      <c r="EMU22" s="515"/>
      <c r="EMV22" s="515"/>
      <c r="EMW22" s="515"/>
      <c r="EMX22" s="515"/>
      <c r="EMY22" s="515"/>
      <c r="EMZ22" s="515"/>
      <c r="ENA22" s="515"/>
      <c r="ENB22" s="515"/>
      <c r="ENC22" s="515"/>
      <c r="END22" s="515"/>
      <c r="ENE22" s="515"/>
      <c r="ENF22" s="515"/>
      <c r="ENG22" s="515"/>
      <c r="ENH22" s="515"/>
      <c r="ENI22" s="515"/>
      <c r="ENJ22" s="515"/>
      <c r="ENK22" s="515"/>
      <c r="ENL22" s="515"/>
      <c r="ENM22" s="515"/>
      <c r="ENN22" s="515"/>
      <c r="ENO22" s="515"/>
      <c r="ENP22" s="515"/>
      <c r="ENQ22" s="515"/>
      <c r="ENR22" s="515"/>
      <c r="ENS22" s="515"/>
      <c r="ENT22" s="515"/>
      <c r="ENU22" s="515"/>
      <c r="ENV22" s="515"/>
      <c r="ENW22" s="515"/>
      <c r="ENX22" s="515"/>
      <c r="ENY22" s="515"/>
      <c r="ENZ22" s="515"/>
      <c r="EOA22" s="515"/>
      <c r="EOB22" s="515"/>
      <c r="EOC22" s="515"/>
      <c r="EOD22" s="515"/>
      <c r="EOE22" s="515"/>
      <c r="EOF22" s="515"/>
      <c r="EOG22" s="515"/>
      <c r="EOH22" s="515"/>
      <c r="EOI22" s="515"/>
      <c r="EOJ22" s="515"/>
      <c r="EOK22" s="515"/>
      <c r="EOL22" s="515"/>
      <c r="EOM22" s="515"/>
      <c r="EON22" s="515"/>
      <c r="EOO22" s="515"/>
      <c r="EOP22" s="515"/>
      <c r="EOQ22" s="515"/>
      <c r="EOR22" s="515"/>
      <c r="EOS22" s="515"/>
      <c r="EOT22" s="515"/>
      <c r="EOU22" s="515"/>
      <c r="EOV22" s="515"/>
      <c r="EOW22" s="515"/>
      <c r="EOX22" s="515"/>
      <c r="EOY22" s="515"/>
      <c r="EOZ22" s="515"/>
      <c r="EPA22" s="515"/>
      <c r="EPB22" s="515"/>
      <c r="EPC22" s="515"/>
      <c r="EPD22" s="515"/>
      <c r="EPE22" s="515"/>
      <c r="EPF22" s="515"/>
      <c r="EPG22" s="515"/>
      <c r="EPH22" s="515"/>
      <c r="EPI22" s="515"/>
      <c r="EPJ22" s="515"/>
      <c r="EPK22" s="515"/>
      <c r="EPL22" s="515"/>
      <c r="EPM22" s="515"/>
      <c r="EPN22" s="515"/>
      <c r="EPO22" s="515"/>
      <c r="EPP22" s="515"/>
      <c r="EPQ22" s="515"/>
      <c r="EPR22" s="515"/>
      <c r="EPS22" s="515"/>
      <c r="EPT22" s="515"/>
      <c r="EPU22" s="515"/>
      <c r="EPV22" s="515"/>
      <c r="EPW22" s="515"/>
      <c r="EPX22" s="515"/>
      <c r="EPY22" s="515"/>
      <c r="EPZ22" s="515"/>
      <c r="EQA22" s="515"/>
      <c r="EQB22" s="515"/>
      <c r="EQC22" s="515"/>
      <c r="EQD22" s="515"/>
      <c r="EQE22" s="515"/>
      <c r="EQF22" s="515"/>
      <c r="EQG22" s="515"/>
      <c r="EQH22" s="515"/>
      <c r="EQI22" s="515"/>
      <c r="EQJ22" s="515"/>
      <c r="EQK22" s="515"/>
      <c r="EQL22" s="515"/>
      <c r="EQM22" s="515"/>
      <c r="EQN22" s="515"/>
      <c r="EQO22" s="515"/>
      <c r="EQP22" s="515"/>
      <c r="EQQ22" s="515"/>
      <c r="EQR22" s="515"/>
      <c r="EQS22" s="515"/>
      <c r="EQT22" s="515"/>
      <c r="EQU22" s="515"/>
      <c r="EQV22" s="515"/>
      <c r="EQW22" s="515"/>
      <c r="EQX22" s="515"/>
      <c r="EQY22" s="515"/>
      <c r="EQZ22" s="515"/>
      <c r="ERA22" s="515"/>
      <c r="ERB22" s="515"/>
      <c r="ERC22" s="515"/>
      <c r="ERD22" s="515"/>
      <c r="ERE22" s="515"/>
      <c r="ERF22" s="515"/>
      <c r="ERG22" s="515"/>
      <c r="ERH22" s="515"/>
      <c r="ERI22" s="515"/>
      <c r="ERJ22" s="515"/>
      <c r="ERK22" s="515"/>
      <c r="ERL22" s="515"/>
      <c r="ERM22" s="515"/>
      <c r="ERN22" s="515"/>
      <c r="ERO22" s="515"/>
      <c r="ERP22" s="515"/>
      <c r="ERQ22" s="515"/>
      <c r="ERR22" s="515"/>
      <c r="ERS22" s="515"/>
      <c r="ERT22" s="515"/>
      <c r="ERU22" s="515"/>
      <c r="ERV22" s="515"/>
      <c r="ERW22" s="515"/>
      <c r="ERX22" s="515"/>
      <c r="ERY22" s="515"/>
      <c r="ERZ22" s="515"/>
      <c r="ESA22" s="515"/>
      <c r="ESB22" s="515"/>
      <c r="ESC22" s="515"/>
      <c r="ESD22" s="515"/>
      <c r="ESE22" s="515"/>
      <c r="ESF22" s="515"/>
      <c r="ESG22" s="515"/>
      <c r="ESH22" s="515"/>
      <c r="ESI22" s="515"/>
      <c r="ESJ22" s="515"/>
      <c r="ESK22" s="515"/>
      <c r="ESL22" s="515"/>
      <c r="ESM22" s="515"/>
      <c r="ESN22" s="515"/>
      <c r="ESO22" s="515"/>
      <c r="ESP22" s="515"/>
      <c r="ESQ22" s="515"/>
      <c r="ESR22" s="515"/>
      <c r="ESS22" s="515"/>
      <c r="EST22" s="515"/>
      <c r="ESU22" s="515"/>
      <c r="ESV22" s="515"/>
      <c r="ESW22" s="515"/>
      <c r="ESX22" s="515"/>
      <c r="ESY22" s="515"/>
      <c r="ESZ22" s="515"/>
      <c r="ETA22" s="515"/>
      <c r="ETB22" s="515"/>
      <c r="ETC22" s="515"/>
      <c r="ETD22" s="515"/>
      <c r="ETE22" s="515"/>
      <c r="ETF22" s="515"/>
      <c r="ETG22" s="515"/>
      <c r="ETH22" s="515"/>
      <c r="ETI22" s="515"/>
      <c r="ETJ22" s="515"/>
      <c r="ETK22" s="515"/>
      <c r="ETL22" s="515"/>
      <c r="ETM22" s="515"/>
      <c r="ETN22" s="515"/>
      <c r="ETO22" s="515"/>
      <c r="ETP22" s="515"/>
      <c r="ETQ22" s="515"/>
      <c r="ETR22" s="515"/>
      <c r="ETS22" s="515"/>
      <c r="ETT22" s="515"/>
      <c r="ETU22" s="515"/>
      <c r="ETV22" s="515"/>
      <c r="ETW22" s="515"/>
      <c r="ETX22" s="515"/>
      <c r="ETY22" s="515"/>
      <c r="ETZ22" s="515"/>
      <c r="EUA22" s="515"/>
      <c r="EUB22" s="515"/>
      <c r="EUC22" s="515"/>
      <c r="EUD22" s="515"/>
      <c r="EUE22" s="515"/>
      <c r="EUF22" s="515"/>
      <c r="EUG22" s="515"/>
      <c r="EUH22" s="515"/>
      <c r="EUI22" s="515"/>
      <c r="EUJ22" s="515"/>
      <c r="EUK22" s="515"/>
      <c r="EUL22" s="515"/>
      <c r="EUM22" s="515"/>
      <c r="EUN22" s="515"/>
      <c r="EUO22" s="515"/>
      <c r="EUP22" s="515"/>
      <c r="EUQ22" s="515"/>
      <c r="EUR22" s="515"/>
      <c r="EUS22" s="515"/>
      <c r="EUT22" s="515"/>
      <c r="EUU22" s="515"/>
      <c r="EUV22" s="515"/>
      <c r="EUW22" s="515"/>
      <c r="EUX22" s="515"/>
      <c r="EUY22" s="515"/>
      <c r="EUZ22" s="515"/>
      <c r="EVA22" s="515"/>
      <c r="EVB22" s="515"/>
      <c r="EVC22" s="515"/>
      <c r="EVD22" s="515"/>
      <c r="EVE22" s="515"/>
      <c r="EVF22" s="515"/>
      <c r="EVG22" s="515"/>
      <c r="EVH22" s="515"/>
      <c r="EVI22" s="515"/>
      <c r="EVJ22" s="515"/>
      <c r="EVK22" s="515"/>
      <c r="EVL22" s="515"/>
      <c r="EVM22" s="515"/>
      <c r="EVN22" s="515"/>
      <c r="EVO22" s="515"/>
      <c r="EVP22" s="515"/>
      <c r="EVQ22" s="515"/>
      <c r="EVR22" s="515"/>
      <c r="EVS22" s="515"/>
      <c r="EVT22" s="515"/>
      <c r="EVU22" s="515"/>
      <c r="EVV22" s="515"/>
      <c r="EVW22" s="515"/>
      <c r="EVX22" s="515"/>
      <c r="EVY22" s="515"/>
      <c r="EVZ22" s="515"/>
      <c r="EWA22" s="515"/>
      <c r="EWB22" s="515"/>
      <c r="EWC22" s="515"/>
      <c r="EWD22" s="515"/>
      <c r="EWE22" s="515"/>
      <c r="EWF22" s="515"/>
      <c r="EWG22" s="515"/>
      <c r="EWH22" s="515"/>
      <c r="EWI22" s="515"/>
      <c r="EWJ22" s="515"/>
      <c r="EWK22" s="515"/>
      <c r="EWL22" s="515"/>
      <c r="EWM22" s="515"/>
      <c r="EWN22" s="515"/>
      <c r="EWO22" s="515"/>
      <c r="EWP22" s="515"/>
      <c r="EWQ22" s="515"/>
      <c r="EWR22" s="515"/>
      <c r="EWS22" s="515"/>
      <c r="EWT22" s="515"/>
      <c r="EWU22" s="515"/>
      <c r="EWV22" s="515"/>
      <c r="EWW22" s="515"/>
      <c r="EWX22" s="515"/>
      <c r="EWY22" s="515"/>
      <c r="EWZ22" s="515"/>
      <c r="EXA22" s="515"/>
      <c r="EXB22" s="515"/>
      <c r="EXC22" s="515"/>
      <c r="EXD22" s="515"/>
      <c r="EXE22" s="515"/>
      <c r="EXF22" s="515"/>
      <c r="EXG22" s="515"/>
      <c r="EXH22" s="515"/>
      <c r="EXI22" s="515"/>
      <c r="EXJ22" s="515"/>
      <c r="EXK22" s="515"/>
      <c r="EXL22" s="515"/>
      <c r="EXM22" s="515"/>
      <c r="EXN22" s="515"/>
      <c r="EXO22" s="515"/>
      <c r="EXP22" s="515"/>
      <c r="EXQ22" s="515"/>
      <c r="EXR22" s="515"/>
      <c r="EXS22" s="515"/>
      <c r="EXT22" s="515"/>
      <c r="EXU22" s="515"/>
      <c r="EXV22" s="515"/>
      <c r="EXW22" s="515"/>
      <c r="EXX22" s="515"/>
      <c r="EXY22" s="515"/>
      <c r="EXZ22" s="515"/>
      <c r="EYA22" s="515"/>
      <c r="EYB22" s="515"/>
      <c r="EYC22" s="515"/>
      <c r="EYD22" s="515"/>
      <c r="EYE22" s="515"/>
      <c r="EYF22" s="515"/>
      <c r="EYG22" s="515"/>
      <c r="EYH22" s="515"/>
      <c r="EYI22" s="515"/>
      <c r="EYJ22" s="515"/>
      <c r="EYK22" s="515"/>
      <c r="EYL22" s="515"/>
      <c r="EYM22" s="515"/>
      <c r="EYN22" s="515"/>
      <c r="EYO22" s="515"/>
      <c r="EYP22" s="515"/>
      <c r="EYQ22" s="515"/>
      <c r="EYR22" s="515"/>
      <c r="EYS22" s="515"/>
      <c r="EYT22" s="515"/>
      <c r="EYU22" s="515"/>
      <c r="EYV22" s="515"/>
      <c r="EYW22" s="515"/>
      <c r="EYX22" s="515"/>
      <c r="EYY22" s="515"/>
      <c r="EYZ22" s="515"/>
      <c r="EZA22" s="515"/>
      <c r="EZB22" s="515"/>
      <c r="EZC22" s="515"/>
      <c r="EZD22" s="515"/>
      <c r="EZE22" s="515"/>
      <c r="EZF22" s="515"/>
      <c r="EZG22" s="515"/>
      <c r="EZH22" s="515"/>
      <c r="EZI22" s="515"/>
      <c r="EZJ22" s="515"/>
      <c r="EZK22" s="515"/>
      <c r="EZL22" s="515"/>
      <c r="EZM22" s="515"/>
      <c r="EZN22" s="515"/>
      <c r="EZO22" s="515"/>
      <c r="EZP22" s="515"/>
      <c r="EZQ22" s="515"/>
      <c r="EZR22" s="515"/>
      <c r="EZS22" s="515"/>
      <c r="EZT22" s="515"/>
      <c r="EZU22" s="515"/>
      <c r="EZV22" s="515"/>
      <c r="EZW22" s="515"/>
      <c r="EZX22" s="515"/>
      <c r="EZY22" s="515"/>
      <c r="EZZ22" s="515"/>
      <c r="FAA22" s="515"/>
      <c r="FAB22" s="515"/>
      <c r="FAC22" s="515"/>
      <c r="FAD22" s="515"/>
      <c r="FAE22" s="515"/>
      <c r="FAF22" s="515"/>
      <c r="FAG22" s="515"/>
      <c r="FAH22" s="515"/>
      <c r="FAI22" s="515"/>
      <c r="FAJ22" s="515"/>
      <c r="FAK22" s="515"/>
      <c r="FAL22" s="515"/>
      <c r="FAM22" s="515"/>
      <c r="FAN22" s="515"/>
      <c r="FAO22" s="515"/>
      <c r="FAP22" s="515"/>
      <c r="FAQ22" s="515"/>
      <c r="FAR22" s="515"/>
      <c r="FAS22" s="515"/>
      <c r="FAT22" s="515"/>
      <c r="FAU22" s="515"/>
      <c r="FAV22" s="515"/>
      <c r="FAW22" s="515"/>
      <c r="FAX22" s="515"/>
      <c r="FAY22" s="515"/>
      <c r="FAZ22" s="515"/>
      <c r="FBA22" s="515"/>
      <c r="FBB22" s="515"/>
      <c r="FBC22" s="515"/>
      <c r="FBD22" s="515"/>
      <c r="FBE22" s="515"/>
      <c r="FBF22" s="515"/>
      <c r="FBG22" s="515"/>
      <c r="FBH22" s="515"/>
      <c r="FBI22" s="515"/>
      <c r="FBJ22" s="515"/>
      <c r="FBK22" s="515"/>
      <c r="FBL22" s="515"/>
      <c r="FBM22" s="515"/>
      <c r="FBN22" s="515"/>
      <c r="FBO22" s="515"/>
      <c r="FBP22" s="515"/>
      <c r="FBQ22" s="515"/>
      <c r="FBR22" s="515"/>
      <c r="FBS22" s="515"/>
      <c r="FBT22" s="515"/>
      <c r="FBU22" s="515"/>
      <c r="FBV22" s="515"/>
      <c r="FBW22" s="515"/>
      <c r="FBX22" s="515"/>
      <c r="FBY22" s="515"/>
      <c r="FBZ22" s="515"/>
      <c r="FCA22" s="515"/>
      <c r="FCB22" s="515"/>
      <c r="FCC22" s="515"/>
      <c r="FCD22" s="515"/>
      <c r="FCE22" s="515"/>
      <c r="FCF22" s="515"/>
      <c r="FCG22" s="515"/>
      <c r="FCH22" s="515"/>
      <c r="FCI22" s="515"/>
      <c r="FCJ22" s="515"/>
      <c r="FCK22" s="515"/>
      <c r="FCL22" s="515"/>
      <c r="FCM22" s="515"/>
      <c r="FCN22" s="515"/>
      <c r="FCO22" s="515"/>
      <c r="FCP22" s="515"/>
      <c r="FCQ22" s="515"/>
      <c r="FCR22" s="515"/>
      <c r="FCS22" s="515"/>
      <c r="FCT22" s="515"/>
      <c r="FCU22" s="515"/>
      <c r="FCV22" s="515"/>
      <c r="FCW22" s="515"/>
      <c r="FCX22" s="515"/>
      <c r="FCY22" s="515"/>
      <c r="FCZ22" s="515"/>
      <c r="FDA22" s="515"/>
      <c r="FDB22" s="515"/>
      <c r="FDC22" s="515"/>
      <c r="FDD22" s="515"/>
      <c r="FDE22" s="515"/>
      <c r="FDF22" s="515"/>
      <c r="FDG22" s="515"/>
      <c r="FDH22" s="515"/>
      <c r="FDI22" s="515"/>
      <c r="FDJ22" s="515"/>
      <c r="FDK22" s="515"/>
      <c r="FDL22" s="515"/>
      <c r="FDM22" s="515"/>
      <c r="FDN22" s="515"/>
      <c r="FDO22" s="515"/>
      <c r="FDP22" s="515"/>
      <c r="FDQ22" s="515"/>
      <c r="FDR22" s="515"/>
      <c r="FDS22" s="515"/>
      <c r="FDT22" s="515"/>
      <c r="FDU22" s="515"/>
      <c r="FDV22" s="515"/>
      <c r="FDW22" s="515"/>
      <c r="FDX22" s="515"/>
      <c r="FDY22" s="515"/>
      <c r="FDZ22" s="515"/>
      <c r="FEA22" s="515"/>
      <c r="FEB22" s="515"/>
      <c r="FEC22" s="515"/>
      <c r="FED22" s="515"/>
      <c r="FEE22" s="515"/>
      <c r="FEF22" s="515"/>
      <c r="FEG22" s="515"/>
      <c r="FEH22" s="515"/>
      <c r="FEI22" s="515"/>
      <c r="FEJ22" s="515"/>
      <c r="FEK22" s="515"/>
      <c r="FEL22" s="515"/>
      <c r="FEM22" s="515"/>
      <c r="FEN22" s="515"/>
      <c r="FEO22" s="515"/>
      <c r="FEP22" s="515"/>
      <c r="FEQ22" s="515"/>
      <c r="FER22" s="515"/>
      <c r="FES22" s="515"/>
      <c r="FET22" s="515"/>
      <c r="FEU22" s="515"/>
      <c r="FEV22" s="515"/>
      <c r="FEW22" s="515"/>
      <c r="FEX22" s="515"/>
      <c r="FEY22" s="515"/>
      <c r="FEZ22" s="515"/>
      <c r="FFA22" s="515"/>
      <c r="FFB22" s="515"/>
      <c r="FFC22" s="515"/>
      <c r="FFD22" s="515"/>
      <c r="FFE22" s="515"/>
      <c r="FFF22" s="515"/>
      <c r="FFG22" s="515"/>
      <c r="FFH22" s="515"/>
      <c r="FFI22" s="515"/>
      <c r="FFJ22" s="515"/>
      <c r="FFK22" s="515"/>
      <c r="FFL22" s="515"/>
      <c r="FFM22" s="515"/>
      <c r="FFN22" s="515"/>
      <c r="FFO22" s="515"/>
      <c r="FFP22" s="515"/>
      <c r="FFQ22" s="515"/>
      <c r="FFR22" s="515"/>
      <c r="FFS22" s="515"/>
      <c r="FFT22" s="515"/>
      <c r="FFU22" s="515"/>
      <c r="FFV22" s="515"/>
      <c r="FFW22" s="515"/>
      <c r="FFX22" s="515"/>
      <c r="FFY22" s="515"/>
      <c r="FFZ22" s="515"/>
      <c r="FGA22" s="515"/>
      <c r="FGB22" s="515"/>
      <c r="FGC22" s="515"/>
      <c r="FGD22" s="515"/>
      <c r="FGE22" s="515"/>
      <c r="FGF22" s="515"/>
      <c r="FGG22" s="515"/>
      <c r="FGH22" s="515"/>
      <c r="FGI22" s="515"/>
      <c r="FGJ22" s="515"/>
      <c r="FGK22" s="515"/>
      <c r="FGL22" s="515"/>
      <c r="FGM22" s="515"/>
      <c r="FGN22" s="515"/>
      <c r="FGO22" s="515"/>
      <c r="FGP22" s="515"/>
      <c r="FGQ22" s="515"/>
      <c r="FGR22" s="515"/>
      <c r="FGS22" s="515"/>
      <c r="FGT22" s="515"/>
      <c r="FGU22" s="515"/>
      <c r="FGV22" s="515"/>
      <c r="FGW22" s="515"/>
      <c r="FGX22" s="515"/>
      <c r="FGY22" s="515"/>
      <c r="FGZ22" s="515"/>
      <c r="FHA22" s="515"/>
      <c r="FHB22" s="515"/>
      <c r="FHC22" s="515"/>
      <c r="FHD22" s="515"/>
      <c r="FHE22" s="515"/>
      <c r="FHF22" s="515"/>
      <c r="FHG22" s="515"/>
      <c r="FHH22" s="515"/>
      <c r="FHI22" s="515"/>
      <c r="FHJ22" s="515"/>
      <c r="FHK22" s="515"/>
      <c r="FHL22" s="515"/>
      <c r="FHM22" s="515"/>
      <c r="FHN22" s="515"/>
      <c r="FHO22" s="515"/>
      <c r="FHP22" s="515"/>
      <c r="FHQ22" s="515"/>
      <c r="FHR22" s="515"/>
      <c r="FHS22" s="515"/>
      <c r="FHT22" s="515"/>
      <c r="FHU22" s="515"/>
      <c r="FHV22" s="515"/>
      <c r="FHW22" s="515"/>
      <c r="FHX22" s="515"/>
      <c r="FHY22" s="515"/>
      <c r="FHZ22" s="515"/>
      <c r="FIA22" s="515"/>
      <c r="FIB22" s="515"/>
      <c r="FIC22" s="515"/>
      <c r="FID22" s="515"/>
      <c r="FIE22" s="515"/>
      <c r="FIF22" s="515"/>
      <c r="FIG22" s="515"/>
      <c r="FIH22" s="515"/>
      <c r="FII22" s="515"/>
      <c r="FIJ22" s="515"/>
      <c r="FIK22" s="515"/>
      <c r="FIL22" s="515"/>
      <c r="FIM22" s="515"/>
      <c r="FIN22" s="515"/>
      <c r="FIO22" s="515"/>
      <c r="FIP22" s="515"/>
      <c r="FIQ22" s="515"/>
      <c r="FIR22" s="515"/>
      <c r="FIS22" s="515"/>
      <c r="FIT22" s="515"/>
      <c r="FIU22" s="515"/>
      <c r="FIV22" s="515"/>
      <c r="FIW22" s="515"/>
      <c r="FIX22" s="515"/>
      <c r="FIY22" s="515"/>
      <c r="FIZ22" s="515"/>
      <c r="FJA22" s="515"/>
      <c r="FJB22" s="515"/>
      <c r="FJC22" s="515"/>
      <c r="FJD22" s="515"/>
      <c r="FJE22" s="515"/>
      <c r="FJF22" s="515"/>
      <c r="FJG22" s="515"/>
      <c r="FJH22" s="515"/>
      <c r="FJI22" s="515"/>
      <c r="FJJ22" s="515"/>
      <c r="FJK22" s="515"/>
      <c r="FJL22" s="515"/>
      <c r="FJM22" s="515"/>
      <c r="FJN22" s="515"/>
      <c r="FJO22" s="515"/>
      <c r="FJP22" s="515"/>
      <c r="FJQ22" s="515"/>
      <c r="FJR22" s="515"/>
      <c r="FJS22" s="515"/>
      <c r="FJT22" s="515"/>
      <c r="FJU22" s="515"/>
      <c r="FJV22" s="515"/>
      <c r="FJW22" s="515"/>
      <c r="FJX22" s="515"/>
      <c r="FJY22" s="515"/>
      <c r="FJZ22" s="515"/>
      <c r="FKA22" s="515"/>
      <c r="FKB22" s="515"/>
      <c r="FKC22" s="515"/>
      <c r="FKD22" s="515"/>
      <c r="FKE22" s="515"/>
      <c r="FKF22" s="515"/>
      <c r="FKG22" s="515"/>
      <c r="FKH22" s="515"/>
      <c r="FKI22" s="515"/>
      <c r="FKJ22" s="515"/>
      <c r="FKK22" s="515"/>
      <c r="FKL22" s="515"/>
      <c r="FKM22" s="515"/>
      <c r="FKN22" s="515"/>
      <c r="FKO22" s="515"/>
      <c r="FKP22" s="515"/>
      <c r="FKQ22" s="515"/>
      <c r="FKR22" s="515"/>
      <c r="FKS22" s="515"/>
      <c r="FKT22" s="515"/>
      <c r="FKU22" s="515"/>
      <c r="FKV22" s="515"/>
      <c r="FKW22" s="515"/>
      <c r="FKX22" s="515"/>
      <c r="FKY22" s="515"/>
      <c r="FKZ22" s="515"/>
      <c r="FLA22" s="515"/>
      <c r="FLB22" s="515"/>
      <c r="FLC22" s="515"/>
      <c r="FLD22" s="515"/>
      <c r="FLE22" s="515"/>
      <c r="FLF22" s="515"/>
      <c r="FLG22" s="515"/>
      <c r="FLH22" s="515"/>
      <c r="FLI22" s="515"/>
      <c r="FLJ22" s="515"/>
      <c r="FLK22" s="515"/>
      <c r="FLL22" s="515"/>
      <c r="FLM22" s="515"/>
      <c r="FLN22" s="515"/>
      <c r="FLO22" s="515"/>
      <c r="FLP22" s="515"/>
      <c r="FLQ22" s="515"/>
      <c r="FLR22" s="515"/>
      <c r="FLS22" s="515"/>
      <c r="FLT22" s="515"/>
      <c r="FLU22" s="515"/>
      <c r="FLV22" s="515"/>
      <c r="FLW22" s="515"/>
      <c r="FLX22" s="515"/>
      <c r="FLY22" s="515"/>
      <c r="FLZ22" s="515"/>
      <c r="FMA22" s="515"/>
      <c r="FMB22" s="515"/>
      <c r="FMC22" s="515"/>
      <c r="FMD22" s="515"/>
      <c r="FME22" s="515"/>
      <c r="FMF22" s="515"/>
      <c r="FMG22" s="515"/>
      <c r="FMH22" s="515"/>
      <c r="FMI22" s="515"/>
      <c r="FMJ22" s="515"/>
      <c r="FMK22" s="515"/>
      <c r="FML22" s="515"/>
      <c r="FMM22" s="515"/>
      <c r="FMN22" s="515"/>
      <c r="FMO22" s="515"/>
      <c r="FMP22" s="515"/>
      <c r="FMQ22" s="515"/>
      <c r="FMR22" s="515"/>
      <c r="FMS22" s="515"/>
      <c r="FMT22" s="515"/>
      <c r="FMU22" s="515"/>
      <c r="FMV22" s="515"/>
      <c r="FMW22" s="515"/>
      <c r="FMX22" s="515"/>
      <c r="FMY22" s="515"/>
      <c r="FMZ22" s="515"/>
      <c r="FNA22" s="515"/>
      <c r="FNB22" s="515"/>
      <c r="FNC22" s="515"/>
      <c r="FND22" s="515"/>
      <c r="FNE22" s="515"/>
      <c r="FNF22" s="515"/>
      <c r="FNG22" s="515"/>
      <c r="FNH22" s="515"/>
      <c r="FNI22" s="515"/>
      <c r="FNJ22" s="515"/>
      <c r="FNK22" s="515"/>
      <c r="FNL22" s="515"/>
      <c r="FNM22" s="515"/>
      <c r="FNN22" s="515"/>
      <c r="FNO22" s="515"/>
      <c r="FNP22" s="515"/>
      <c r="FNQ22" s="515"/>
      <c r="FNR22" s="515"/>
      <c r="FNS22" s="515"/>
      <c r="FNT22" s="515"/>
      <c r="FNU22" s="515"/>
      <c r="FNV22" s="515"/>
      <c r="FNW22" s="515"/>
      <c r="FNX22" s="515"/>
      <c r="FNY22" s="515"/>
      <c r="FNZ22" s="515"/>
      <c r="FOA22" s="515"/>
      <c r="FOB22" s="515"/>
      <c r="FOC22" s="515"/>
      <c r="FOD22" s="515"/>
      <c r="FOE22" s="515"/>
      <c r="FOF22" s="515"/>
      <c r="FOG22" s="515"/>
      <c r="FOH22" s="515"/>
      <c r="FOI22" s="515"/>
      <c r="FOJ22" s="515"/>
      <c r="FOK22" s="515"/>
      <c r="FOL22" s="515"/>
      <c r="FOM22" s="515"/>
      <c r="FON22" s="515"/>
      <c r="FOO22" s="515"/>
      <c r="FOP22" s="515"/>
      <c r="FOQ22" s="515"/>
      <c r="FOR22" s="515"/>
      <c r="FOS22" s="515"/>
      <c r="FOT22" s="515"/>
      <c r="FOU22" s="515"/>
      <c r="FOV22" s="515"/>
      <c r="FOW22" s="515"/>
      <c r="FOX22" s="515"/>
      <c r="FOY22" s="515"/>
      <c r="FOZ22" s="515"/>
      <c r="FPA22" s="515"/>
      <c r="FPB22" s="515"/>
      <c r="FPC22" s="515"/>
      <c r="FPD22" s="515"/>
      <c r="FPE22" s="515"/>
      <c r="FPF22" s="515"/>
      <c r="FPG22" s="515"/>
      <c r="FPH22" s="515"/>
      <c r="FPI22" s="515"/>
      <c r="FPJ22" s="515"/>
      <c r="FPK22" s="515"/>
      <c r="FPL22" s="515"/>
      <c r="FPM22" s="515"/>
      <c r="FPN22" s="515"/>
      <c r="FPO22" s="515"/>
      <c r="FPP22" s="515"/>
      <c r="FPQ22" s="515"/>
      <c r="FPR22" s="515"/>
      <c r="FPS22" s="515"/>
      <c r="FPT22" s="515"/>
      <c r="FPU22" s="515"/>
      <c r="FPV22" s="515"/>
      <c r="FPW22" s="515"/>
      <c r="FPX22" s="515"/>
      <c r="FPY22" s="515"/>
      <c r="FPZ22" s="515"/>
      <c r="FQA22" s="515"/>
      <c r="FQB22" s="515"/>
      <c r="FQC22" s="515"/>
      <c r="FQD22" s="515"/>
      <c r="FQE22" s="515"/>
      <c r="FQF22" s="515"/>
      <c r="FQG22" s="515"/>
      <c r="FQH22" s="515"/>
      <c r="FQI22" s="515"/>
      <c r="FQJ22" s="515"/>
      <c r="FQK22" s="515"/>
      <c r="FQL22" s="515"/>
      <c r="FQM22" s="515"/>
      <c r="FQN22" s="515"/>
      <c r="FQO22" s="515"/>
      <c r="FQP22" s="515"/>
      <c r="FQQ22" s="515"/>
      <c r="FQR22" s="515"/>
      <c r="FQS22" s="515"/>
      <c r="FQT22" s="515"/>
      <c r="FQU22" s="515"/>
      <c r="FQV22" s="515"/>
      <c r="FQW22" s="515"/>
      <c r="FQX22" s="515"/>
      <c r="FQY22" s="515"/>
      <c r="FQZ22" s="515"/>
      <c r="FRA22" s="515"/>
      <c r="FRB22" s="515"/>
      <c r="FRC22" s="515"/>
      <c r="FRD22" s="515"/>
      <c r="FRE22" s="515"/>
      <c r="FRF22" s="515"/>
      <c r="FRG22" s="515"/>
      <c r="FRH22" s="515"/>
      <c r="FRI22" s="515"/>
      <c r="FRJ22" s="515"/>
      <c r="FRK22" s="515"/>
      <c r="FRL22" s="515"/>
      <c r="FRM22" s="515"/>
      <c r="FRN22" s="515"/>
      <c r="FRO22" s="515"/>
      <c r="FRP22" s="515"/>
      <c r="FRQ22" s="515"/>
      <c r="FRR22" s="515"/>
      <c r="FRS22" s="515"/>
      <c r="FRT22" s="515"/>
      <c r="FRU22" s="515"/>
      <c r="FRV22" s="515"/>
      <c r="FRW22" s="515"/>
      <c r="FRX22" s="515"/>
      <c r="FRY22" s="515"/>
      <c r="FRZ22" s="515"/>
      <c r="FSA22" s="515"/>
      <c r="FSB22" s="515"/>
      <c r="FSC22" s="515"/>
      <c r="FSD22" s="515"/>
      <c r="FSE22" s="515"/>
      <c r="FSF22" s="515"/>
      <c r="FSG22" s="515"/>
      <c r="FSH22" s="515"/>
      <c r="FSI22" s="515"/>
      <c r="FSJ22" s="515"/>
      <c r="FSK22" s="515"/>
      <c r="FSL22" s="515"/>
      <c r="FSM22" s="515"/>
      <c r="FSN22" s="515"/>
      <c r="FSO22" s="515"/>
      <c r="FSP22" s="515"/>
      <c r="FSQ22" s="515"/>
      <c r="FSR22" s="515"/>
      <c r="FSS22" s="515"/>
      <c r="FST22" s="515"/>
      <c r="FSU22" s="515"/>
      <c r="FSV22" s="515"/>
      <c r="FSW22" s="515"/>
      <c r="FSX22" s="515"/>
      <c r="FSY22" s="515"/>
      <c r="FSZ22" s="515"/>
      <c r="FTA22" s="515"/>
      <c r="FTB22" s="515"/>
      <c r="FTC22" s="515"/>
      <c r="FTD22" s="515"/>
      <c r="FTE22" s="515"/>
      <c r="FTF22" s="515"/>
      <c r="FTG22" s="515"/>
      <c r="FTH22" s="515"/>
      <c r="FTI22" s="515"/>
      <c r="FTJ22" s="515"/>
      <c r="FTK22" s="515"/>
      <c r="FTL22" s="515"/>
      <c r="FTM22" s="515"/>
      <c r="FTN22" s="515"/>
      <c r="FTO22" s="515"/>
      <c r="FTP22" s="515"/>
      <c r="FTQ22" s="515"/>
      <c r="FTR22" s="515"/>
      <c r="FTS22" s="515"/>
      <c r="FTT22" s="515"/>
      <c r="FTU22" s="515"/>
      <c r="FTV22" s="515"/>
      <c r="FTW22" s="515"/>
      <c r="FTX22" s="515"/>
      <c r="FTY22" s="515"/>
      <c r="FTZ22" s="515"/>
      <c r="FUA22" s="515"/>
      <c r="FUB22" s="515"/>
      <c r="FUC22" s="515"/>
      <c r="FUD22" s="515"/>
      <c r="FUE22" s="515"/>
      <c r="FUF22" s="515"/>
      <c r="FUG22" s="515"/>
      <c r="FUH22" s="515"/>
      <c r="FUI22" s="515"/>
      <c r="FUJ22" s="515"/>
      <c r="FUK22" s="515"/>
      <c r="FUL22" s="515"/>
      <c r="FUM22" s="515"/>
      <c r="FUN22" s="515"/>
      <c r="FUO22" s="515"/>
      <c r="FUP22" s="515"/>
      <c r="FUQ22" s="515"/>
      <c r="FUR22" s="515"/>
      <c r="FUS22" s="515"/>
      <c r="FUT22" s="515"/>
      <c r="FUU22" s="515"/>
      <c r="FUV22" s="515"/>
      <c r="FUW22" s="515"/>
      <c r="FUX22" s="515"/>
      <c r="FUY22" s="515"/>
      <c r="FUZ22" s="515"/>
      <c r="FVA22" s="515"/>
      <c r="FVB22" s="515"/>
      <c r="FVC22" s="515"/>
      <c r="FVD22" s="515"/>
      <c r="FVE22" s="515"/>
      <c r="FVF22" s="515"/>
      <c r="FVG22" s="515"/>
      <c r="FVH22" s="515"/>
      <c r="FVI22" s="515"/>
      <c r="FVJ22" s="515"/>
      <c r="FVK22" s="515"/>
      <c r="FVL22" s="515"/>
      <c r="FVM22" s="515"/>
      <c r="FVN22" s="515"/>
      <c r="FVO22" s="515"/>
      <c r="FVP22" s="515"/>
      <c r="FVQ22" s="515"/>
      <c r="FVR22" s="515"/>
      <c r="FVS22" s="515"/>
      <c r="FVT22" s="515"/>
      <c r="FVU22" s="515"/>
      <c r="FVV22" s="515"/>
      <c r="FVW22" s="515"/>
      <c r="FVX22" s="515"/>
      <c r="FVY22" s="515"/>
      <c r="FVZ22" s="515"/>
      <c r="FWA22" s="515"/>
      <c r="FWB22" s="515"/>
      <c r="FWC22" s="515"/>
      <c r="FWD22" s="515"/>
      <c r="FWE22" s="515"/>
      <c r="FWF22" s="515"/>
      <c r="FWG22" s="515"/>
      <c r="FWH22" s="515"/>
      <c r="FWI22" s="515"/>
      <c r="FWJ22" s="515"/>
      <c r="FWK22" s="515"/>
      <c r="FWL22" s="515"/>
      <c r="FWM22" s="515"/>
      <c r="FWN22" s="515"/>
      <c r="FWO22" s="515"/>
      <c r="FWP22" s="515"/>
      <c r="FWQ22" s="515"/>
      <c r="FWR22" s="515"/>
      <c r="FWS22" s="515"/>
      <c r="FWT22" s="515"/>
      <c r="FWU22" s="515"/>
      <c r="FWV22" s="515"/>
      <c r="FWW22" s="515"/>
      <c r="FWX22" s="515"/>
      <c r="FWY22" s="515"/>
      <c r="FWZ22" s="515"/>
      <c r="FXA22" s="515"/>
      <c r="FXB22" s="515"/>
      <c r="FXC22" s="515"/>
      <c r="FXD22" s="515"/>
      <c r="FXE22" s="515"/>
      <c r="FXF22" s="515"/>
      <c r="FXG22" s="515"/>
      <c r="FXH22" s="515"/>
      <c r="FXI22" s="515"/>
      <c r="FXJ22" s="515"/>
      <c r="FXK22" s="515"/>
      <c r="FXL22" s="515"/>
      <c r="FXM22" s="515"/>
      <c r="FXN22" s="515"/>
      <c r="FXO22" s="515"/>
      <c r="FXP22" s="515"/>
      <c r="FXQ22" s="515"/>
      <c r="FXR22" s="515"/>
      <c r="FXS22" s="515"/>
      <c r="FXT22" s="515"/>
      <c r="FXU22" s="515"/>
      <c r="FXV22" s="515"/>
      <c r="FXW22" s="515"/>
      <c r="FXX22" s="515"/>
      <c r="FXY22" s="515"/>
      <c r="FXZ22" s="515"/>
      <c r="FYA22" s="515"/>
      <c r="FYB22" s="515"/>
      <c r="FYC22" s="515"/>
      <c r="FYD22" s="515"/>
      <c r="FYE22" s="515"/>
      <c r="FYF22" s="515"/>
      <c r="FYG22" s="515"/>
      <c r="FYH22" s="515"/>
      <c r="FYI22" s="515"/>
      <c r="FYJ22" s="515"/>
      <c r="FYK22" s="515"/>
      <c r="FYL22" s="515"/>
      <c r="FYM22" s="515"/>
      <c r="FYN22" s="515"/>
      <c r="FYO22" s="515"/>
      <c r="FYP22" s="515"/>
      <c r="FYQ22" s="515"/>
      <c r="FYR22" s="515"/>
      <c r="FYS22" s="515"/>
      <c r="FYT22" s="515"/>
      <c r="FYU22" s="515"/>
      <c r="FYV22" s="515"/>
      <c r="FYW22" s="515"/>
      <c r="FYX22" s="515"/>
      <c r="FYY22" s="515"/>
      <c r="FYZ22" s="515"/>
      <c r="FZA22" s="515"/>
      <c r="FZB22" s="515"/>
      <c r="FZC22" s="515"/>
      <c r="FZD22" s="515"/>
      <c r="FZE22" s="515"/>
      <c r="FZF22" s="515"/>
      <c r="FZG22" s="515"/>
      <c r="FZH22" s="515"/>
      <c r="FZI22" s="515"/>
      <c r="FZJ22" s="515"/>
      <c r="FZK22" s="515"/>
      <c r="FZL22" s="515"/>
      <c r="FZM22" s="515"/>
      <c r="FZN22" s="515"/>
      <c r="FZO22" s="515"/>
      <c r="FZP22" s="515"/>
      <c r="FZQ22" s="515"/>
      <c r="FZR22" s="515"/>
      <c r="FZS22" s="515"/>
      <c r="FZT22" s="515"/>
      <c r="FZU22" s="515"/>
      <c r="FZV22" s="515"/>
      <c r="FZW22" s="515"/>
      <c r="FZX22" s="515"/>
      <c r="FZY22" s="515"/>
      <c r="FZZ22" s="515"/>
      <c r="GAA22" s="515"/>
      <c r="GAB22" s="515"/>
      <c r="GAC22" s="515"/>
      <c r="GAD22" s="515"/>
      <c r="GAE22" s="515"/>
      <c r="GAF22" s="515"/>
      <c r="GAG22" s="515"/>
      <c r="GAH22" s="515"/>
      <c r="GAI22" s="515"/>
      <c r="GAJ22" s="515"/>
      <c r="GAK22" s="515"/>
      <c r="GAL22" s="515"/>
      <c r="GAM22" s="515"/>
      <c r="GAN22" s="515"/>
      <c r="GAO22" s="515"/>
      <c r="GAP22" s="515"/>
      <c r="GAQ22" s="515"/>
      <c r="GAR22" s="515"/>
      <c r="GAS22" s="515"/>
      <c r="GAT22" s="515"/>
      <c r="GAU22" s="515"/>
      <c r="GAV22" s="515"/>
      <c r="GAW22" s="515"/>
      <c r="GAX22" s="515"/>
      <c r="GAY22" s="515"/>
      <c r="GAZ22" s="515"/>
      <c r="GBA22" s="515"/>
      <c r="GBB22" s="515"/>
      <c r="GBC22" s="515"/>
      <c r="GBD22" s="515"/>
      <c r="GBE22" s="515"/>
      <c r="GBF22" s="515"/>
      <c r="GBG22" s="515"/>
      <c r="GBH22" s="515"/>
      <c r="GBI22" s="515"/>
      <c r="GBJ22" s="515"/>
      <c r="GBK22" s="515"/>
      <c r="GBL22" s="515"/>
      <c r="GBM22" s="515"/>
      <c r="GBN22" s="515"/>
      <c r="GBO22" s="515"/>
      <c r="GBP22" s="515"/>
      <c r="GBQ22" s="515"/>
      <c r="GBR22" s="515"/>
      <c r="GBS22" s="515"/>
      <c r="GBT22" s="515"/>
      <c r="GBU22" s="515"/>
      <c r="GBV22" s="515"/>
      <c r="GBW22" s="515"/>
      <c r="GBX22" s="515"/>
      <c r="GBY22" s="515"/>
      <c r="GBZ22" s="515"/>
      <c r="GCA22" s="515"/>
      <c r="GCB22" s="515"/>
      <c r="GCC22" s="515"/>
      <c r="GCD22" s="515"/>
      <c r="GCE22" s="515"/>
      <c r="GCF22" s="515"/>
      <c r="GCG22" s="515"/>
      <c r="GCH22" s="515"/>
      <c r="GCI22" s="515"/>
      <c r="GCJ22" s="515"/>
      <c r="GCK22" s="515"/>
      <c r="GCL22" s="515"/>
      <c r="GCM22" s="515"/>
      <c r="GCN22" s="515"/>
      <c r="GCO22" s="515"/>
      <c r="GCP22" s="515"/>
      <c r="GCQ22" s="515"/>
      <c r="GCR22" s="515"/>
      <c r="GCS22" s="515"/>
      <c r="GCT22" s="515"/>
      <c r="GCU22" s="515"/>
      <c r="GCV22" s="515"/>
      <c r="GCW22" s="515"/>
      <c r="GCX22" s="515"/>
      <c r="GCY22" s="515"/>
      <c r="GCZ22" s="515"/>
      <c r="GDA22" s="515"/>
      <c r="GDB22" s="515"/>
      <c r="GDC22" s="515"/>
      <c r="GDD22" s="515"/>
      <c r="GDE22" s="515"/>
      <c r="GDF22" s="515"/>
      <c r="GDG22" s="515"/>
      <c r="GDH22" s="515"/>
      <c r="GDI22" s="515"/>
      <c r="GDJ22" s="515"/>
      <c r="GDK22" s="515"/>
      <c r="GDL22" s="515"/>
      <c r="GDM22" s="515"/>
      <c r="GDN22" s="515"/>
      <c r="GDO22" s="515"/>
      <c r="GDP22" s="515"/>
      <c r="GDQ22" s="515"/>
      <c r="GDR22" s="515"/>
      <c r="GDS22" s="515"/>
      <c r="GDT22" s="515"/>
      <c r="GDU22" s="515"/>
      <c r="GDV22" s="515"/>
      <c r="GDW22" s="515"/>
      <c r="GDX22" s="515"/>
      <c r="GDY22" s="515"/>
      <c r="GDZ22" s="515"/>
      <c r="GEA22" s="515"/>
      <c r="GEB22" s="515"/>
      <c r="GEC22" s="515"/>
      <c r="GED22" s="515"/>
      <c r="GEE22" s="515"/>
      <c r="GEF22" s="515"/>
      <c r="GEG22" s="515"/>
      <c r="GEH22" s="515"/>
      <c r="GEI22" s="515"/>
      <c r="GEJ22" s="515"/>
      <c r="GEK22" s="515"/>
      <c r="GEL22" s="515"/>
      <c r="GEM22" s="515"/>
      <c r="GEN22" s="515"/>
      <c r="GEO22" s="515"/>
      <c r="GEP22" s="515"/>
      <c r="GEQ22" s="515"/>
      <c r="GER22" s="515"/>
      <c r="GES22" s="515"/>
      <c r="GET22" s="515"/>
      <c r="GEU22" s="515"/>
      <c r="GEV22" s="515"/>
      <c r="GEW22" s="515"/>
      <c r="GEX22" s="515"/>
      <c r="GEY22" s="515"/>
      <c r="GEZ22" s="515"/>
      <c r="GFA22" s="515"/>
      <c r="GFB22" s="515"/>
      <c r="GFC22" s="515"/>
      <c r="GFD22" s="515"/>
      <c r="GFE22" s="515"/>
      <c r="GFF22" s="515"/>
      <c r="GFG22" s="515"/>
      <c r="GFH22" s="515"/>
      <c r="GFI22" s="515"/>
      <c r="GFJ22" s="515"/>
      <c r="GFK22" s="515"/>
      <c r="GFL22" s="515"/>
      <c r="GFM22" s="515"/>
      <c r="GFN22" s="515"/>
      <c r="GFO22" s="515"/>
      <c r="GFP22" s="515"/>
      <c r="GFQ22" s="515"/>
      <c r="GFR22" s="515"/>
      <c r="GFS22" s="515"/>
      <c r="GFT22" s="515"/>
      <c r="GFU22" s="515"/>
      <c r="GFV22" s="515"/>
      <c r="GFW22" s="515"/>
      <c r="GFX22" s="515"/>
      <c r="GFY22" s="515"/>
      <c r="GFZ22" s="515"/>
      <c r="GGA22" s="515"/>
      <c r="GGB22" s="515"/>
      <c r="GGC22" s="515"/>
      <c r="GGD22" s="515"/>
      <c r="GGE22" s="515"/>
      <c r="GGF22" s="515"/>
      <c r="GGG22" s="515"/>
      <c r="GGH22" s="515"/>
      <c r="GGI22" s="515"/>
      <c r="GGJ22" s="515"/>
      <c r="GGK22" s="515"/>
      <c r="GGL22" s="515"/>
      <c r="GGM22" s="515"/>
      <c r="GGN22" s="515"/>
      <c r="GGO22" s="515"/>
      <c r="GGP22" s="515"/>
      <c r="GGQ22" s="515"/>
      <c r="GGR22" s="515"/>
      <c r="GGS22" s="515"/>
      <c r="GGT22" s="515"/>
      <c r="GGU22" s="515"/>
      <c r="GGV22" s="515"/>
      <c r="GGW22" s="515"/>
      <c r="GGX22" s="515"/>
      <c r="GGY22" s="515"/>
      <c r="GGZ22" s="515"/>
      <c r="GHA22" s="515"/>
      <c r="GHB22" s="515"/>
      <c r="GHC22" s="515"/>
      <c r="GHD22" s="515"/>
      <c r="GHE22" s="515"/>
      <c r="GHF22" s="515"/>
      <c r="GHG22" s="515"/>
      <c r="GHH22" s="515"/>
      <c r="GHI22" s="515"/>
      <c r="GHJ22" s="515"/>
      <c r="GHK22" s="515"/>
      <c r="GHL22" s="515"/>
      <c r="GHM22" s="515"/>
      <c r="GHN22" s="515"/>
      <c r="GHO22" s="515"/>
      <c r="GHP22" s="515"/>
      <c r="GHQ22" s="515"/>
      <c r="GHR22" s="515"/>
      <c r="GHS22" s="515"/>
      <c r="GHT22" s="515"/>
      <c r="GHU22" s="515"/>
      <c r="GHV22" s="515"/>
      <c r="GHW22" s="515"/>
      <c r="GHX22" s="515"/>
      <c r="GHY22" s="515"/>
      <c r="GHZ22" s="515"/>
      <c r="GIA22" s="515"/>
      <c r="GIB22" s="515"/>
      <c r="GIC22" s="515"/>
      <c r="GID22" s="515"/>
      <c r="GIE22" s="515"/>
      <c r="GIF22" s="515"/>
      <c r="GIG22" s="515"/>
      <c r="GIH22" s="515"/>
      <c r="GII22" s="515"/>
      <c r="GIJ22" s="515"/>
      <c r="GIK22" s="515"/>
      <c r="GIL22" s="515"/>
      <c r="GIM22" s="515"/>
      <c r="GIN22" s="515"/>
      <c r="GIO22" s="515"/>
      <c r="GIP22" s="515"/>
      <c r="GIQ22" s="515"/>
      <c r="GIR22" s="515"/>
      <c r="GIS22" s="515"/>
      <c r="GIT22" s="515"/>
      <c r="GIU22" s="515"/>
      <c r="GIV22" s="515"/>
      <c r="GIW22" s="515"/>
      <c r="GIX22" s="515"/>
      <c r="GIY22" s="515"/>
      <c r="GIZ22" s="515"/>
      <c r="GJA22" s="515"/>
      <c r="GJB22" s="515"/>
      <c r="GJC22" s="515"/>
      <c r="GJD22" s="515"/>
      <c r="GJE22" s="515"/>
      <c r="GJF22" s="515"/>
      <c r="GJG22" s="515"/>
      <c r="GJH22" s="515"/>
      <c r="GJI22" s="515"/>
      <c r="GJJ22" s="515"/>
      <c r="GJK22" s="515"/>
      <c r="GJL22" s="515"/>
      <c r="GJM22" s="515"/>
      <c r="GJN22" s="515"/>
      <c r="GJO22" s="515"/>
      <c r="GJP22" s="515"/>
      <c r="GJQ22" s="515"/>
      <c r="GJR22" s="515"/>
      <c r="GJS22" s="515"/>
      <c r="GJT22" s="515"/>
      <c r="GJU22" s="515"/>
      <c r="GJV22" s="515"/>
      <c r="GJW22" s="515"/>
      <c r="GJX22" s="515"/>
      <c r="GJY22" s="515"/>
      <c r="GJZ22" s="515"/>
      <c r="GKA22" s="515"/>
      <c r="GKB22" s="515"/>
      <c r="GKC22" s="515"/>
      <c r="GKD22" s="515"/>
      <c r="GKE22" s="515"/>
      <c r="GKF22" s="515"/>
      <c r="GKG22" s="515"/>
      <c r="GKH22" s="515"/>
      <c r="GKI22" s="515"/>
      <c r="GKJ22" s="515"/>
      <c r="GKK22" s="515"/>
      <c r="GKL22" s="515"/>
      <c r="GKM22" s="515"/>
      <c r="GKN22" s="515"/>
      <c r="GKO22" s="515"/>
      <c r="GKP22" s="515"/>
      <c r="GKQ22" s="515"/>
      <c r="GKR22" s="515"/>
      <c r="GKS22" s="515"/>
      <c r="GKT22" s="515"/>
      <c r="GKU22" s="515"/>
      <c r="GKV22" s="515"/>
      <c r="GKW22" s="515"/>
      <c r="GKX22" s="515"/>
      <c r="GKY22" s="515"/>
      <c r="GKZ22" s="515"/>
      <c r="GLA22" s="515"/>
      <c r="GLB22" s="515"/>
      <c r="GLC22" s="515"/>
      <c r="GLD22" s="515"/>
      <c r="GLE22" s="515"/>
      <c r="GLF22" s="515"/>
      <c r="GLG22" s="515"/>
      <c r="GLH22" s="515"/>
      <c r="GLI22" s="515"/>
      <c r="GLJ22" s="515"/>
      <c r="GLK22" s="515"/>
      <c r="GLL22" s="515"/>
      <c r="GLM22" s="515"/>
      <c r="GLN22" s="515"/>
      <c r="GLO22" s="515"/>
      <c r="GLP22" s="515"/>
      <c r="GLQ22" s="515"/>
      <c r="GLR22" s="515"/>
      <c r="GLS22" s="515"/>
      <c r="GLT22" s="515"/>
      <c r="GLU22" s="515"/>
      <c r="GLV22" s="515"/>
      <c r="GLW22" s="515"/>
      <c r="GLX22" s="515"/>
      <c r="GLY22" s="515"/>
      <c r="GLZ22" s="515"/>
      <c r="GMA22" s="515"/>
      <c r="GMB22" s="515"/>
      <c r="GMC22" s="515"/>
      <c r="GMD22" s="515"/>
      <c r="GME22" s="515"/>
      <c r="GMF22" s="515"/>
      <c r="GMG22" s="515"/>
      <c r="GMH22" s="515"/>
      <c r="GMI22" s="515"/>
      <c r="GMJ22" s="515"/>
      <c r="GMK22" s="515"/>
      <c r="GML22" s="515"/>
      <c r="GMM22" s="515"/>
      <c r="GMN22" s="515"/>
      <c r="GMO22" s="515"/>
      <c r="GMP22" s="515"/>
      <c r="GMQ22" s="515"/>
      <c r="GMR22" s="515"/>
      <c r="GMS22" s="515"/>
      <c r="GMT22" s="515"/>
      <c r="GMU22" s="515"/>
      <c r="GMV22" s="515"/>
      <c r="GMW22" s="515"/>
      <c r="GMX22" s="515"/>
      <c r="GMY22" s="515"/>
      <c r="GMZ22" s="515"/>
      <c r="GNA22" s="515"/>
      <c r="GNB22" s="515"/>
      <c r="GNC22" s="515"/>
      <c r="GND22" s="515"/>
      <c r="GNE22" s="515"/>
      <c r="GNF22" s="515"/>
      <c r="GNG22" s="515"/>
      <c r="GNH22" s="515"/>
      <c r="GNI22" s="515"/>
      <c r="GNJ22" s="515"/>
      <c r="GNK22" s="515"/>
      <c r="GNL22" s="515"/>
      <c r="GNM22" s="515"/>
      <c r="GNN22" s="515"/>
      <c r="GNO22" s="515"/>
      <c r="GNP22" s="515"/>
      <c r="GNQ22" s="515"/>
      <c r="GNR22" s="515"/>
      <c r="GNS22" s="515"/>
      <c r="GNT22" s="515"/>
      <c r="GNU22" s="515"/>
      <c r="GNV22" s="515"/>
      <c r="GNW22" s="515"/>
      <c r="GNX22" s="515"/>
      <c r="GNY22" s="515"/>
      <c r="GNZ22" s="515"/>
      <c r="GOA22" s="515"/>
      <c r="GOB22" s="515"/>
      <c r="GOC22" s="515"/>
      <c r="GOD22" s="515"/>
      <c r="GOE22" s="515"/>
      <c r="GOF22" s="515"/>
      <c r="GOG22" s="515"/>
      <c r="GOH22" s="515"/>
      <c r="GOI22" s="515"/>
      <c r="GOJ22" s="515"/>
      <c r="GOK22" s="515"/>
      <c r="GOL22" s="515"/>
      <c r="GOM22" s="515"/>
      <c r="GON22" s="515"/>
      <c r="GOO22" s="515"/>
      <c r="GOP22" s="515"/>
      <c r="GOQ22" s="515"/>
      <c r="GOR22" s="515"/>
      <c r="GOS22" s="515"/>
      <c r="GOT22" s="515"/>
      <c r="GOU22" s="515"/>
      <c r="GOV22" s="515"/>
      <c r="GOW22" s="515"/>
      <c r="GOX22" s="515"/>
      <c r="GOY22" s="515"/>
      <c r="GOZ22" s="515"/>
      <c r="GPA22" s="515"/>
      <c r="GPB22" s="515"/>
      <c r="GPC22" s="515"/>
      <c r="GPD22" s="515"/>
      <c r="GPE22" s="515"/>
      <c r="GPF22" s="515"/>
      <c r="GPG22" s="515"/>
      <c r="GPH22" s="515"/>
      <c r="GPI22" s="515"/>
      <c r="GPJ22" s="515"/>
      <c r="GPK22" s="515"/>
      <c r="GPL22" s="515"/>
      <c r="GPM22" s="515"/>
      <c r="GPN22" s="515"/>
      <c r="GPO22" s="515"/>
      <c r="GPP22" s="515"/>
      <c r="GPQ22" s="515"/>
      <c r="GPR22" s="515"/>
      <c r="GPS22" s="515"/>
      <c r="GPT22" s="515"/>
      <c r="GPU22" s="515"/>
      <c r="GPV22" s="515"/>
      <c r="GPW22" s="515"/>
      <c r="GPX22" s="515"/>
      <c r="GPY22" s="515"/>
      <c r="GPZ22" s="515"/>
      <c r="GQA22" s="515"/>
      <c r="GQB22" s="515"/>
      <c r="GQC22" s="515"/>
      <c r="GQD22" s="515"/>
      <c r="GQE22" s="515"/>
      <c r="GQF22" s="515"/>
      <c r="GQG22" s="515"/>
      <c r="GQH22" s="515"/>
      <c r="GQI22" s="515"/>
      <c r="GQJ22" s="515"/>
      <c r="GQK22" s="515"/>
      <c r="GQL22" s="515"/>
      <c r="GQM22" s="515"/>
      <c r="GQN22" s="515"/>
      <c r="GQO22" s="515"/>
      <c r="GQP22" s="515"/>
      <c r="GQQ22" s="515"/>
      <c r="GQR22" s="515"/>
      <c r="GQS22" s="515"/>
      <c r="GQT22" s="515"/>
      <c r="GQU22" s="515"/>
      <c r="GQV22" s="515"/>
      <c r="GQW22" s="515"/>
      <c r="GQX22" s="515"/>
      <c r="GQY22" s="515"/>
      <c r="GQZ22" s="515"/>
      <c r="GRA22" s="515"/>
      <c r="GRB22" s="515"/>
      <c r="GRC22" s="515"/>
      <c r="GRD22" s="515"/>
      <c r="GRE22" s="515"/>
      <c r="GRF22" s="515"/>
      <c r="GRG22" s="515"/>
      <c r="GRH22" s="515"/>
      <c r="GRI22" s="515"/>
      <c r="GRJ22" s="515"/>
      <c r="GRK22" s="515"/>
      <c r="GRL22" s="515"/>
      <c r="GRM22" s="515"/>
      <c r="GRN22" s="515"/>
      <c r="GRO22" s="515"/>
      <c r="GRP22" s="515"/>
      <c r="GRQ22" s="515"/>
      <c r="GRR22" s="515"/>
      <c r="GRS22" s="515"/>
      <c r="GRT22" s="515"/>
      <c r="GRU22" s="515"/>
      <c r="GRV22" s="515"/>
      <c r="GRW22" s="515"/>
      <c r="GRX22" s="515"/>
      <c r="GRY22" s="515"/>
      <c r="GRZ22" s="515"/>
      <c r="GSA22" s="515"/>
      <c r="GSB22" s="515"/>
      <c r="GSC22" s="515"/>
      <c r="GSD22" s="515"/>
      <c r="GSE22" s="515"/>
      <c r="GSF22" s="515"/>
      <c r="GSG22" s="515"/>
      <c r="GSH22" s="515"/>
      <c r="GSI22" s="515"/>
      <c r="GSJ22" s="515"/>
      <c r="GSK22" s="515"/>
      <c r="GSL22" s="515"/>
      <c r="GSM22" s="515"/>
      <c r="GSN22" s="515"/>
      <c r="GSO22" s="515"/>
      <c r="GSP22" s="515"/>
      <c r="GSQ22" s="515"/>
      <c r="GSR22" s="515"/>
      <c r="GSS22" s="515"/>
      <c r="GST22" s="515"/>
      <c r="GSU22" s="515"/>
      <c r="GSV22" s="515"/>
      <c r="GSW22" s="515"/>
      <c r="GSX22" s="515"/>
      <c r="GSY22" s="515"/>
      <c r="GSZ22" s="515"/>
      <c r="GTA22" s="515"/>
      <c r="GTB22" s="515"/>
      <c r="GTC22" s="515"/>
      <c r="GTD22" s="515"/>
      <c r="GTE22" s="515"/>
      <c r="GTF22" s="515"/>
      <c r="GTG22" s="515"/>
      <c r="GTH22" s="515"/>
      <c r="GTI22" s="515"/>
      <c r="GTJ22" s="515"/>
      <c r="GTK22" s="515"/>
      <c r="GTL22" s="515"/>
      <c r="GTM22" s="515"/>
      <c r="GTN22" s="515"/>
      <c r="GTO22" s="515"/>
      <c r="GTP22" s="515"/>
      <c r="GTQ22" s="515"/>
      <c r="GTR22" s="515"/>
      <c r="GTS22" s="515"/>
      <c r="GTT22" s="515"/>
      <c r="GTU22" s="515"/>
      <c r="GTV22" s="515"/>
      <c r="GTW22" s="515"/>
      <c r="GTX22" s="515"/>
      <c r="GTY22" s="515"/>
      <c r="GTZ22" s="515"/>
      <c r="GUA22" s="515"/>
      <c r="GUB22" s="515"/>
      <c r="GUC22" s="515"/>
      <c r="GUD22" s="515"/>
      <c r="GUE22" s="515"/>
      <c r="GUF22" s="515"/>
      <c r="GUG22" s="515"/>
      <c r="GUH22" s="515"/>
      <c r="GUI22" s="515"/>
      <c r="GUJ22" s="515"/>
      <c r="GUK22" s="515"/>
      <c r="GUL22" s="515"/>
      <c r="GUM22" s="515"/>
      <c r="GUN22" s="515"/>
      <c r="GUO22" s="515"/>
      <c r="GUP22" s="515"/>
      <c r="GUQ22" s="515"/>
      <c r="GUR22" s="515"/>
      <c r="GUS22" s="515"/>
      <c r="GUT22" s="515"/>
      <c r="GUU22" s="515"/>
      <c r="GUV22" s="515"/>
      <c r="GUW22" s="515"/>
      <c r="GUX22" s="515"/>
      <c r="GUY22" s="515"/>
      <c r="GUZ22" s="515"/>
      <c r="GVA22" s="515"/>
      <c r="GVB22" s="515"/>
      <c r="GVC22" s="515"/>
      <c r="GVD22" s="515"/>
      <c r="GVE22" s="515"/>
      <c r="GVF22" s="515"/>
      <c r="GVG22" s="515"/>
      <c r="GVH22" s="515"/>
      <c r="GVI22" s="515"/>
      <c r="GVJ22" s="515"/>
      <c r="GVK22" s="515"/>
      <c r="GVL22" s="515"/>
      <c r="GVM22" s="515"/>
      <c r="GVN22" s="515"/>
      <c r="GVO22" s="515"/>
      <c r="GVP22" s="515"/>
      <c r="GVQ22" s="515"/>
      <c r="GVR22" s="515"/>
      <c r="GVS22" s="515"/>
      <c r="GVT22" s="515"/>
      <c r="GVU22" s="515"/>
      <c r="GVV22" s="515"/>
      <c r="GVW22" s="515"/>
      <c r="GVX22" s="515"/>
      <c r="GVY22" s="515"/>
      <c r="GVZ22" s="515"/>
      <c r="GWA22" s="515"/>
      <c r="GWB22" s="515"/>
      <c r="GWC22" s="515"/>
      <c r="GWD22" s="515"/>
      <c r="GWE22" s="515"/>
      <c r="GWF22" s="515"/>
      <c r="GWG22" s="515"/>
      <c r="GWH22" s="515"/>
      <c r="GWI22" s="515"/>
      <c r="GWJ22" s="515"/>
      <c r="GWK22" s="515"/>
      <c r="GWL22" s="515"/>
      <c r="GWM22" s="515"/>
      <c r="GWN22" s="515"/>
      <c r="GWO22" s="515"/>
      <c r="GWP22" s="515"/>
      <c r="GWQ22" s="515"/>
      <c r="GWR22" s="515"/>
      <c r="GWS22" s="515"/>
      <c r="GWT22" s="515"/>
      <c r="GWU22" s="515"/>
      <c r="GWV22" s="515"/>
      <c r="GWW22" s="515"/>
      <c r="GWX22" s="515"/>
      <c r="GWY22" s="515"/>
      <c r="GWZ22" s="515"/>
      <c r="GXA22" s="515"/>
      <c r="GXB22" s="515"/>
      <c r="GXC22" s="515"/>
      <c r="GXD22" s="515"/>
      <c r="GXE22" s="515"/>
      <c r="GXF22" s="515"/>
      <c r="GXG22" s="515"/>
      <c r="GXH22" s="515"/>
      <c r="GXI22" s="515"/>
      <c r="GXJ22" s="515"/>
      <c r="GXK22" s="515"/>
      <c r="GXL22" s="515"/>
      <c r="GXM22" s="515"/>
      <c r="GXN22" s="515"/>
      <c r="GXO22" s="515"/>
      <c r="GXP22" s="515"/>
      <c r="GXQ22" s="515"/>
      <c r="GXR22" s="515"/>
      <c r="GXS22" s="515"/>
      <c r="GXT22" s="515"/>
      <c r="GXU22" s="515"/>
      <c r="GXV22" s="515"/>
      <c r="GXW22" s="515"/>
      <c r="GXX22" s="515"/>
      <c r="GXY22" s="515"/>
      <c r="GXZ22" s="515"/>
      <c r="GYA22" s="515"/>
      <c r="GYB22" s="515"/>
      <c r="GYC22" s="515"/>
      <c r="GYD22" s="515"/>
      <c r="GYE22" s="515"/>
      <c r="GYF22" s="515"/>
      <c r="GYG22" s="515"/>
      <c r="GYH22" s="515"/>
      <c r="GYI22" s="515"/>
      <c r="GYJ22" s="515"/>
      <c r="GYK22" s="515"/>
      <c r="GYL22" s="515"/>
      <c r="GYM22" s="515"/>
      <c r="GYN22" s="515"/>
      <c r="GYO22" s="515"/>
      <c r="GYP22" s="515"/>
      <c r="GYQ22" s="515"/>
      <c r="GYR22" s="515"/>
      <c r="GYS22" s="515"/>
      <c r="GYT22" s="515"/>
      <c r="GYU22" s="515"/>
      <c r="GYV22" s="515"/>
      <c r="GYW22" s="515"/>
      <c r="GYX22" s="515"/>
      <c r="GYY22" s="515"/>
      <c r="GYZ22" s="515"/>
      <c r="GZA22" s="515"/>
      <c r="GZB22" s="515"/>
      <c r="GZC22" s="515"/>
      <c r="GZD22" s="515"/>
      <c r="GZE22" s="515"/>
      <c r="GZF22" s="515"/>
      <c r="GZG22" s="515"/>
      <c r="GZH22" s="515"/>
      <c r="GZI22" s="515"/>
      <c r="GZJ22" s="515"/>
      <c r="GZK22" s="515"/>
      <c r="GZL22" s="515"/>
      <c r="GZM22" s="515"/>
      <c r="GZN22" s="515"/>
      <c r="GZO22" s="515"/>
      <c r="GZP22" s="515"/>
      <c r="GZQ22" s="515"/>
      <c r="GZR22" s="515"/>
      <c r="GZS22" s="515"/>
      <c r="GZT22" s="515"/>
      <c r="GZU22" s="515"/>
      <c r="GZV22" s="515"/>
      <c r="GZW22" s="515"/>
      <c r="GZX22" s="515"/>
      <c r="GZY22" s="515"/>
      <c r="GZZ22" s="515"/>
      <c r="HAA22" s="515"/>
      <c r="HAB22" s="515"/>
      <c r="HAC22" s="515"/>
      <c r="HAD22" s="515"/>
      <c r="HAE22" s="515"/>
      <c r="HAF22" s="515"/>
      <c r="HAG22" s="515"/>
      <c r="HAH22" s="515"/>
      <c r="HAI22" s="515"/>
      <c r="HAJ22" s="515"/>
      <c r="HAK22" s="515"/>
      <c r="HAL22" s="515"/>
      <c r="HAM22" s="515"/>
      <c r="HAN22" s="515"/>
      <c r="HAO22" s="515"/>
      <c r="HAP22" s="515"/>
      <c r="HAQ22" s="515"/>
      <c r="HAR22" s="515"/>
      <c r="HAS22" s="515"/>
      <c r="HAT22" s="515"/>
      <c r="HAU22" s="515"/>
      <c r="HAV22" s="515"/>
      <c r="HAW22" s="515"/>
      <c r="HAX22" s="515"/>
      <c r="HAY22" s="515"/>
      <c r="HAZ22" s="515"/>
      <c r="HBA22" s="515"/>
      <c r="HBB22" s="515"/>
      <c r="HBC22" s="515"/>
      <c r="HBD22" s="515"/>
      <c r="HBE22" s="515"/>
      <c r="HBF22" s="515"/>
      <c r="HBG22" s="515"/>
      <c r="HBH22" s="515"/>
      <c r="HBI22" s="515"/>
      <c r="HBJ22" s="515"/>
      <c r="HBK22" s="515"/>
      <c r="HBL22" s="515"/>
      <c r="HBM22" s="515"/>
      <c r="HBN22" s="515"/>
      <c r="HBO22" s="515"/>
      <c r="HBP22" s="515"/>
      <c r="HBQ22" s="515"/>
      <c r="HBR22" s="515"/>
      <c r="HBS22" s="515"/>
      <c r="HBT22" s="515"/>
      <c r="HBU22" s="515"/>
      <c r="HBV22" s="515"/>
      <c r="HBW22" s="515"/>
      <c r="HBX22" s="515"/>
      <c r="HBY22" s="515"/>
      <c r="HBZ22" s="515"/>
      <c r="HCA22" s="515"/>
      <c r="HCB22" s="515"/>
      <c r="HCC22" s="515"/>
      <c r="HCD22" s="515"/>
      <c r="HCE22" s="515"/>
      <c r="HCF22" s="515"/>
      <c r="HCG22" s="515"/>
      <c r="HCH22" s="515"/>
      <c r="HCI22" s="515"/>
      <c r="HCJ22" s="515"/>
      <c r="HCK22" s="515"/>
      <c r="HCL22" s="515"/>
      <c r="HCM22" s="515"/>
      <c r="HCN22" s="515"/>
      <c r="HCO22" s="515"/>
      <c r="HCP22" s="515"/>
      <c r="HCQ22" s="515"/>
      <c r="HCR22" s="515"/>
      <c r="HCS22" s="515"/>
      <c r="HCT22" s="515"/>
      <c r="HCU22" s="515"/>
      <c r="HCV22" s="515"/>
      <c r="HCW22" s="515"/>
      <c r="HCX22" s="515"/>
      <c r="HCY22" s="515"/>
      <c r="HCZ22" s="515"/>
      <c r="HDA22" s="515"/>
      <c r="HDB22" s="515"/>
      <c r="HDC22" s="515"/>
      <c r="HDD22" s="515"/>
      <c r="HDE22" s="515"/>
      <c r="HDF22" s="515"/>
      <c r="HDG22" s="515"/>
      <c r="HDH22" s="515"/>
      <c r="HDI22" s="515"/>
      <c r="HDJ22" s="515"/>
      <c r="HDK22" s="515"/>
      <c r="HDL22" s="515"/>
      <c r="HDM22" s="515"/>
      <c r="HDN22" s="515"/>
      <c r="HDO22" s="515"/>
      <c r="HDP22" s="515"/>
      <c r="HDQ22" s="515"/>
      <c r="HDR22" s="515"/>
      <c r="HDS22" s="515"/>
      <c r="HDT22" s="515"/>
      <c r="HDU22" s="515"/>
      <c r="HDV22" s="515"/>
      <c r="HDW22" s="515"/>
      <c r="HDX22" s="515"/>
      <c r="HDY22" s="515"/>
      <c r="HDZ22" s="515"/>
      <c r="HEA22" s="515"/>
      <c r="HEB22" s="515"/>
      <c r="HEC22" s="515"/>
      <c r="HED22" s="515"/>
      <c r="HEE22" s="515"/>
      <c r="HEF22" s="515"/>
      <c r="HEG22" s="515"/>
      <c r="HEH22" s="515"/>
      <c r="HEI22" s="515"/>
      <c r="HEJ22" s="515"/>
      <c r="HEK22" s="515"/>
      <c r="HEL22" s="515"/>
      <c r="HEM22" s="515"/>
      <c r="HEN22" s="515"/>
      <c r="HEO22" s="515"/>
      <c r="HEP22" s="515"/>
      <c r="HEQ22" s="515"/>
      <c r="HER22" s="515"/>
      <c r="HES22" s="515"/>
      <c r="HET22" s="515"/>
      <c r="HEU22" s="515"/>
      <c r="HEV22" s="515"/>
      <c r="HEW22" s="515"/>
      <c r="HEX22" s="515"/>
      <c r="HEY22" s="515"/>
      <c r="HEZ22" s="515"/>
      <c r="HFA22" s="515"/>
      <c r="HFB22" s="515"/>
      <c r="HFC22" s="515"/>
      <c r="HFD22" s="515"/>
      <c r="HFE22" s="515"/>
      <c r="HFF22" s="515"/>
      <c r="HFG22" s="515"/>
      <c r="HFH22" s="515"/>
      <c r="HFI22" s="515"/>
      <c r="HFJ22" s="515"/>
      <c r="HFK22" s="515"/>
      <c r="HFL22" s="515"/>
      <c r="HFM22" s="515"/>
      <c r="HFN22" s="515"/>
      <c r="HFO22" s="515"/>
      <c r="HFP22" s="515"/>
      <c r="HFQ22" s="515"/>
      <c r="HFR22" s="515"/>
      <c r="HFS22" s="515"/>
      <c r="HFT22" s="515"/>
      <c r="HFU22" s="515"/>
      <c r="HFV22" s="515"/>
      <c r="HFW22" s="515"/>
      <c r="HFX22" s="515"/>
      <c r="HFY22" s="515"/>
      <c r="HFZ22" s="515"/>
      <c r="HGA22" s="515"/>
      <c r="HGB22" s="515"/>
      <c r="HGC22" s="515"/>
      <c r="HGD22" s="515"/>
      <c r="HGE22" s="515"/>
      <c r="HGF22" s="515"/>
      <c r="HGG22" s="515"/>
      <c r="HGH22" s="515"/>
      <c r="HGI22" s="515"/>
      <c r="HGJ22" s="515"/>
      <c r="HGK22" s="515"/>
      <c r="HGL22" s="515"/>
      <c r="HGM22" s="515"/>
      <c r="HGN22" s="515"/>
      <c r="HGO22" s="515"/>
      <c r="HGP22" s="515"/>
      <c r="HGQ22" s="515"/>
      <c r="HGR22" s="515"/>
      <c r="HGS22" s="515"/>
      <c r="HGT22" s="515"/>
      <c r="HGU22" s="515"/>
      <c r="HGV22" s="515"/>
      <c r="HGW22" s="515"/>
      <c r="HGX22" s="515"/>
      <c r="HGY22" s="515"/>
      <c r="HGZ22" s="515"/>
      <c r="HHA22" s="515"/>
      <c r="HHB22" s="515"/>
      <c r="HHC22" s="515"/>
      <c r="HHD22" s="515"/>
      <c r="HHE22" s="515"/>
      <c r="HHF22" s="515"/>
      <c r="HHG22" s="515"/>
      <c r="HHH22" s="515"/>
      <c r="HHI22" s="515"/>
      <c r="HHJ22" s="515"/>
      <c r="HHK22" s="515"/>
      <c r="HHL22" s="515"/>
      <c r="HHM22" s="515"/>
      <c r="HHN22" s="515"/>
      <c r="HHO22" s="515"/>
      <c r="HHP22" s="515"/>
      <c r="HHQ22" s="515"/>
      <c r="HHR22" s="515"/>
      <c r="HHS22" s="515"/>
      <c r="HHT22" s="515"/>
      <c r="HHU22" s="515"/>
      <c r="HHV22" s="515"/>
      <c r="HHW22" s="515"/>
      <c r="HHX22" s="515"/>
      <c r="HHY22" s="515"/>
      <c r="HHZ22" s="515"/>
      <c r="HIA22" s="515"/>
      <c r="HIB22" s="515"/>
      <c r="HIC22" s="515"/>
      <c r="HID22" s="515"/>
      <c r="HIE22" s="515"/>
      <c r="HIF22" s="515"/>
      <c r="HIG22" s="515"/>
      <c r="HIH22" s="515"/>
      <c r="HII22" s="515"/>
      <c r="HIJ22" s="515"/>
      <c r="HIK22" s="515"/>
      <c r="HIL22" s="515"/>
      <c r="HIM22" s="515"/>
      <c r="HIN22" s="515"/>
      <c r="HIO22" s="515"/>
      <c r="HIP22" s="515"/>
      <c r="HIQ22" s="515"/>
      <c r="HIR22" s="515"/>
      <c r="HIS22" s="515"/>
      <c r="HIT22" s="515"/>
      <c r="HIU22" s="515"/>
      <c r="HIV22" s="515"/>
      <c r="HIW22" s="515"/>
      <c r="HIX22" s="515"/>
      <c r="HIY22" s="515"/>
      <c r="HIZ22" s="515"/>
      <c r="HJA22" s="515"/>
      <c r="HJB22" s="515"/>
      <c r="HJC22" s="515"/>
      <c r="HJD22" s="515"/>
      <c r="HJE22" s="515"/>
      <c r="HJF22" s="515"/>
      <c r="HJG22" s="515"/>
      <c r="HJH22" s="515"/>
      <c r="HJI22" s="515"/>
      <c r="HJJ22" s="515"/>
      <c r="HJK22" s="515"/>
      <c r="HJL22" s="515"/>
      <c r="HJM22" s="515"/>
      <c r="HJN22" s="515"/>
      <c r="HJO22" s="515"/>
      <c r="HJP22" s="515"/>
      <c r="HJQ22" s="515"/>
      <c r="HJR22" s="515"/>
      <c r="HJS22" s="515"/>
      <c r="HJT22" s="515"/>
      <c r="HJU22" s="515"/>
      <c r="HJV22" s="515"/>
      <c r="HJW22" s="515"/>
      <c r="HJX22" s="515"/>
      <c r="HJY22" s="515"/>
      <c r="HJZ22" s="515"/>
      <c r="HKA22" s="515"/>
      <c r="HKB22" s="515"/>
      <c r="HKC22" s="515"/>
      <c r="HKD22" s="515"/>
      <c r="HKE22" s="515"/>
      <c r="HKF22" s="515"/>
      <c r="HKG22" s="515"/>
      <c r="HKH22" s="515"/>
      <c r="HKI22" s="515"/>
      <c r="HKJ22" s="515"/>
      <c r="HKK22" s="515"/>
      <c r="HKL22" s="515"/>
      <c r="HKM22" s="515"/>
      <c r="HKN22" s="515"/>
      <c r="HKO22" s="515"/>
      <c r="HKP22" s="515"/>
      <c r="HKQ22" s="515"/>
      <c r="HKR22" s="515"/>
      <c r="HKS22" s="515"/>
      <c r="HKT22" s="515"/>
      <c r="HKU22" s="515"/>
      <c r="HKV22" s="515"/>
      <c r="HKW22" s="515"/>
      <c r="HKX22" s="515"/>
      <c r="HKY22" s="515"/>
      <c r="HKZ22" s="515"/>
      <c r="HLA22" s="515"/>
      <c r="HLB22" s="515"/>
      <c r="HLC22" s="515"/>
      <c r="HLD22" s="515"/>
      <c r="HLE22" s="515"/>
      <c r="HLF22" s="515"/>
      <c r="HLG22" s="515"/>
      <c r="HLH22" s="515"/>
      <c r="HLI22" s="515"/>
      <c r="HLJ22" s="515"/>
      <c r="HLK22" s="515"/>
      <c r="HLL22" s="515"/>
      <c r="HLM22" s="515"/>
      <c r="HLN22" s="515"/>
      <c r="HLO22" s="515"/>
      <c r="HLP22" s="515"/>
      <c r="HLQ22" s="515"/>
      <c r="HLR22" s="515"/>
      <c r="HLS22" s="515"/>
      <c r="HLT22" s="515"/>
      <c r="HLU22" s="515"/>
      <c r="HLV22" s="515"/>
      <c r="HLW22" s="515"/>
      <c r="HLX22" s="515"/>
      <c r="HLY22" s="515"/>
      <c r="HLZ22" s="515"/>
      <c r="HMA22" s="515"/>
      <c r="HMB22" s="515"/>
      <c r="HMC22" s="515"/>
      <c r="HMD22" s="515"/>
      <c r="HME22" s="515"/>
      <c r="HMF22" s="515"/>
      <c r="HMG22" s="515"/>
      <c r="HMH22" s="515"/>
      <c r="HMI22" s="515"/>
      <c r="HMJ22" s="515"/>
      <c r="HMK22" s="515"/>
      <c r="HML22" s="515"/>
      <c r="HMM22" s="515"/>
      <c r="HMN22" s="515"/>
      <c r="HMO22" s="515"/>
      <c r="HMP22" s="515"/>
      <c r="HMQ22" s="515"/>
      <c r="HMR22" s="515"/>
      <c r="HMS22" s="515"/>
      <c r="HMT22" s="515"/>
      <c r="HMU22" s="515"/>
      <c r="HMV22" s="515"/>
      <c r="HMW22" s="515"/>
      <c r="HMX22" s="515"/>
      <c r="HMY22" s="515"/>
      <c r="HMZ22" s="515"/>
      <c r="HNA22" s="515"/>
      <c r="HNB22" s="515"/>
      <c r="HNC22" s="515"/>
      <c r="HND22" s="515"/>
      <c r="HNE22" s="515"/>
      <c r="HNF22" s="515"/>
      <c r="HNG22" s="515"/>
      <c r="HNH22" s="515"/>
      <c r="HNI22" s="515"/>
      <c r="HNJ22" s="515"/>
      <c r="HNK22" s="515"/>
      <c r="HNL22" s="515"/>
      <c r="HNM22" s="515"/>
      <c r="HNN22" s="515"/>
      <c r="HNO22" s="515"/>
      <c r="HNP22" s="515"/>
      <c r="HNQ22" s="515"/>
      <c r="HNR22" s="515"/>
      <c r="HNS22" s="515"/>
      <c r="HNT22" s="515"/>
      <c r="HNU22" s="515"/>
      <c r="HNV22" s="515"/>
      <c r="HNW22" s="515"/>
      <c r="HNX22" s="515"/>
      <c r="HNY22" s="515"/>
      <c r="HNZ22" s="515"/>
      <c r="HOA22" s="515"/>
      <c r="HOB22" s="515"/>
      <c r="HOC22" s="515"/>
      <c r="HOD22" s="515"/>
      <c r="HOE22" s="515"/>
      <c r="HOF22" s="515"/>
      <c r="HOG22" s="515"/>
      <c r="HOH22" s="515"/>
      <c r="HOI22" s="515"/>
      <c r="HOJ22" s="515"/>
      <c r="HOK22" s="515"/>
      <c r="HOL22" s="515"/>
      <c r="HOM22" s="515"/>
      <c r="HON22" s="515"/>
      <c r="HOO22" s="515"/>
      <c r="HOP22" s="515"/>
      <c r="HOQ22" s="515"/>
      <c r="HOR22" s="515"/>
      <c r="HOS22" s="515"/>
      <c r="HOT22" s="515"/>
      <c r="HOU22" s="515"/>
      <c r="HOV22" s="515"/>
      <c r="HOW22" s="515"/>
      <c r="HOX22" s="515"/>
      <c r="HOY22" s="515"/>
      <c r="HOZ22" s="515"/>
      <c r="HPA22" s="515"/>
      <c r="HPB22" s="515"/>
      <c r="HPC22" s="515"/>
      <c r="HPD22" s="515"/>
      <c r="HPE22" s="515"/>
      <c r="HPF22" s="515"/>
      <c r="HPG22" s="515"/>
      <c r="HPH22" s="515"/>
      <c r="HPI22" s="515"/>
      <c r="HPJ22" s="515"/>
      <c r="HPK22" s="515"/>
      <c r="HPL22" s="515"/>
      <c r="HPM22" s="515"/>
      <c r="HPN22" s="515"/>
      <c r="HPO22" s="515"/>
      <c r="HPP22" s="515"/>
      <c r="HPQ22" s="515"/>
      <c r="HPR22" s="515"/>
      <c r="HPS22" s="515"/>
      <c r="HPT22" s="515"/>
      <c r="HPU22" s="515"/>
      <c r="HPV22" s="515"/>
      <c r="HPW22" s="515"/>
      <c r="HPX22" s="515"/>
      <c r="HPY22" s="515"/>
      <c r="HPZ22" s="515"/>
      <c r="HQA22" s="515"/>
      <c r="HQB22" s="515"/>
      <c r="HQC22" s="515"/>
      <c r="HQD22" s="515"/>
      <c r="HQE22" s="515"/>
      <c r="HQF22" s="515"/>
      <c r="HQG22" s="515"/>
      <c r="HQH22" s="515"/>
      <c r="HQI22" s="515"/>
      <c r="HQJ22" s="515"/>
      <c r="HQK22" s="515"/>
      <c r="HQL22" s="515"/>
      <c r="HQM22" s="515"/>
      <c r="HQN22" s="515"/>
      <c r="HQO22" s="515"/>
      <c r="HQP22" s="515"/>
      <c r="HQQ22" s="515"/>
      <c r="HQR22" s="515"/>
      <c r="HQS22" s="515"/>
      <c r="HQT22" s="515"/>
      <c r="HQU22" s="515"/>
      <c r="HQV22" s="515"/>
      <c r="HQW22" s="515"/>
      <c r="HQX22" s="515"/>
      <c r="HQY22" s="515"/>
      <c r="HQZ22" s="515"/>
      <c r="HRA22" s="515"/>
      <c r="HRB22" s="515"/>
      <c r="HRC22" s="515"/>
      <c r="HRD22" s="515"/>
      <c r="HRE22" s="515"/>
      <c r="HRF22" s="515"/>
      <c r="HRG22" s="515"/>
      <c r="HRH22" s="515"/>
      <c r="HRI22" s="515"/>
      <c r="HRJ22" s="515"/>
      <c r="HRK22" s="515"/>
      <c r="HRL22" s="515"/>
      <c r="HRM22" s="515"/>
      <c r="HRN22" s="515"/>
      <c r="HRO22" s="515"/>
      <c r="HRP22" s="515"/>
      <c r="HRQ22" s="515"/>
      <c r="HRR22" s="515"/>
      <c r="HRS22" s="515"/>
      <c r="HRT22" s="515"/>
      <c r="HRU22" s="515"/>
      <c r="HRV22" s="515"/>
      <c r="HRW22" s="515"/>
      <c r="HRX22" s="515"/>
      <c r="HRY22" s="515"/>
      <c r="HRZ22" s="515"/>
      <c r="HSA22" s="515"/>
      <c r="HSB22" s="515"/>
      <c r="HSC22" s="515"/>
      <c r="HSD22" s="515"/>
      <c r="HSE22" s="515"/>
      <c r="HSF22" s="515"/>
      <c r="HSG22" s="515"/>
      <c r="HSH22" s="515"/>
      <c r="HSI22" s="515"/>
      <c r="HSJ22" s="515"/>
      <c r="HSK22" s="515"/>
      <c r="HSL22" s="515"/>
      <c r="HSM22" s="515"/>
      <c r="HSN22" s="515"/>
      <c r="HSO22" s="515"/>
      <c r="HSP22" s="515"/>
      <c r="HSQ22" s="515"/>
      <c r="HSR22" s="515"/>
      <c r="HSS22" s="515"/>
      <c r="HST22" s="515"/>
      <c r="HSU22" s="515"/>
      <c r="HSV22" s="515"/>
      <c r="HSW22" s="515"/>
      <c r="HSX22" s="515"/>
      <c r="HSY22" s="515"/>
      <c r="HSZ22" s="515"/>
      <c r="HTA22" s="515"/>
      <c r="HTB22" s="515"/>
      <c r="HTC22" s="515"/>
      <c r="HTD22" s="515"/>
      <c r="HTE22" s="515"/>
      <c r="HTF22" s="515"/>
      <c r="HTG22" s="515"/>
      <c r="HTH22" s="515"/>
      <c r="HTI22" s="515"/>
      <c r="HTJ22" s="515"/>
      <c r="HTK22" s="515"/>
      <c r="HTL22" s="515"/>
      <c r="HTM22" s="515"/>
      <c r="HTN22" s="515"/>
      <c r="HTO22" s="515"/>
      <c r="HTP22" s="515"/>
      <c r="HTQ22" s="515"/>
      <c r="HTR22" s="515"/>
      <c r="HTS22" s="515"/>
      <c r="HTT22" s="515"/>
      <c r="HTU22" s="515"/>
      <c r="HTV22" s="515"/>
      <c r="HTW22" s="515"/>
      <c r="HTX22" s="515"/>
      <c r="HTY22" s="515"/>
      <c r="HTZ22" s="515"/>
      <c r="HUA22" s="515"/>
      <c r="HUB22" s="515"/>
      <c r="HUC22" s="515"/>
      <c r="HUD22" s="515"/>
      <c r="HUE22" s="515"/>
      <c r="HUF22" s="515"/>
      <c r="HUG22" s="515"/>
      <c r="HUH22" s="515"/>
      <c r="HUI22" s="515"/>
      <c r="HUJ22" s="515"/>
      <c r="HUK22" s="515"/>
      <c r="HUL22" s="515"/>
      <c r="HUM22" s="515"/>
      <c r="HUN22" s="515"/>
      <c r="HUO22" s="515"/>
      <c r="HUP22" s="515"/>
      <c r="HUQ22" s="515"/>
      <c r="HUR22" s="515"/>
      <c r="HUS22" s="515"/>
      <c r="HUT22" s="515"/>
      <c r="HUU22" s="515"/>
      <c r="HUV22" s="515"/>
      <c r="HUW22" s="515"/>
      <c r="HUX22" s="515"/>
      <c r="HUY22" s="515"/>
      <c r="HUZ22" s="515"/>
      <c r="HVA22" s="515"/>
      <c r="HVB22" s="515"/>
      <c r="HVC22" s="515"/>
      <c r="HVD22" s="515"/>
      <c r="HVE22" s="515"/>
      <c r="HVF22" s="515"/>
      <c r="HVG22" s="515"/>
      <c r="HVH22" s="515"/>
      <c r="HVI22" s="515"/>
      <c r="HVJ22" s="515"/>
      <c r="HVK22" s="515"/>
      <c r="HVL22" s="515"/>
      <c r="HVM22" s="515"/>
      <c r="HVN22" s="515"/>
      <c r="HVO22" s="515"/>
      <c r="HVP22" s="515"/>
      <c r="HVQ22" s="515"/>
      <c r="HVR22" s="515"/>
      <c r="HVS22" s="515"/>
      <c r="HVT22" s="515"/>
      <c r="HVU22" s="515"/>
      <c r="HVV22" s="515"/>
      <c r="HVW22" s="515"/>
      <c r="HVX22" s="515"/>
      <c r="HVY22" s="515"/>
      <c r="HVZ22" s="515"/>
      <c r="HWA22" s="515"/>
      <c r="HWB22" s="515"/>
      <c r="HWC22" s="515"/>
      <c r="HWD22" s="515"/>
      <c r="HWE22" s="515"/>
      <c r="HWF22" s="515"/>
      <c r="HWG22" s="515"/>
      <c r="HWH22" s="515"/>
      <c r="HWI22" s="515"/>
      <c r="HWJ22" s="515"/>
      <c r="HWK22" s="515"/>
      <c r="HWL22" s="515"/>
      <c r="HWM22" s="515"/>
      <c r="HWN22" s="515"/>
      <c r="HWO22" s="515"/>
      <c r="HWP22" s="515"/>
      <c r="HWQ22" s="515"/>
      <c r="HWR22" s="515"/>
      <c r="HWS22" s="515"/>
      <c r="HWT22" s="515"/>
      <c r="HWU22" s="515"/>
      <c r="HWV22" s="515"/>
      <c r="HWW22" s="515"/>
      <c r="HWX22" s="515"/>
      <c r="HWY22" s="515"/>
      <c r="HWZ22" s="515"/>
      <c r="HXA22" s="515"/>
      <c r="HXB22" s="515"/>
      <c r="HXC22" s="515"/>
      <c r="HXD22" s="515"/>
      <c r="HXE22" s="515"/>
      <c r="HXF22" s="515"/>
      <c r="HXG22" s="515"/>
      <c r="HXH22" s="515"/>
      <c r="HXI22" s="515"/>
      <c r="HXJ22" s="515"/>
      <c r="HXK22" s="515"/>
      <c r="HXL22" s="515"/>
      <c r="HXM22" s="515"/>
      <c r="HXN22" s="515"/>
      <c r="HXO22" s="515"/>
      <c r="HXP22" s="515"/>
      <c r="HXQ22" s="515"/>
      <c r="HXR22" s="515"/>
      <c r="HXS22" s="515"/>
      <c r="HXT22" s="515"/>
      <c r="HXU22" s="515"/>
      <c r="HXV22" s="515"/>
      <c r="HXW22" s="515"/>
      <c r="HXX22" s="515"/>
      <c r="HXY22" s="515"/>
      <c r="HXZ22" s="515"/>
      <c r="HYA22" s="515"/>
      <c r="HYB22" s="515"/>
      <c r="HYC22" s="515"/>
      <c r="HYD22" s="515"/>
      <c r="HYE22" s="515"/>
      <c r="HYF22" s="515"/>
      <c r="HYG22" s="515"/>
      <c r="HYH22" s="515"/>
      <c r="HYI22" s="515"/>
      <c r="HYJ22" s="515"/>
      <c r="HYK22" s="515"/>
      <c r="HYL22" s="515"/>
      <c r="HYM22" s="515"/>
      <c r="HYN22" s="515"/>
      <c r="HYO22" s="515"/>
      <c r="HYP22" s="515"/>
      <c r="HYQ22" s="515"/>
      <c r="HYR22" s="515"/>
      <c r="HYS22" s="515"/>
      <c r="HYT22" s="515"/>
      <c r="HYU22" s="515"/>
      <c r="HYV22" s="515"/>
      <c r="HYW22" s="515"/>
      <c r="HYX22" s="515"/>
      <c r="HYY22" s="515"/>
      <c r="HYZ22" s="515"/>
      <c r="HZA22" s="515"/>
      <c r="HZB22" s="515"/>
      <c r="HZC22" s="515"/>
      <c r="HZD22" s="515"/>
      <c r="HZE22" s="515"/>
      <c r="HZF22" s="515"/>
      <c r="HZG22" s="515"/>
      <c r="HZH22" s="515"/>
      <c r="HZI22" s="515"/>
      <c r="HZJ22" s="515"/>
      <c r="HZK22" s="515"/>
      <c r="HZL22" s="515"/>
      <c r="HZM22" s="515"/>
      <c r="HZN22" s="515"/>
      <c r="HZO22" s="515"/>
      <c r="HZP22" s="515"/>
      <c r="HZQ22" s="515"/>
      <c r="HZR22" s="515"/>
      <c r="HZS22" s="515"/>
      <c r="HZT22" s="515"/>
      <c r="HZU22" s="515"/>
      <c r="HZV22" s="515"/>
      <c r="HZW22" s="515"/>
      <c r="HZX22" s="515"/>
      <c r="HZY22" s="515"/>
      <c r="HZZ22" s="515"/>
      <c r="IAA22" s="515"/>
      <c r="IAB22" s="515"/>
      <c r="IAC22" s="515"/>
      <c r="IAD22" s="515"/>
      <c r="IAE22" s="515"/>
      <c r="IAF22" s="515"/>
      <c r="IAG22" s="515"/>
      <c r="IAH22" s="515"/>
      <c r="IAI22" s="515"/>
      <c r="IAJ22" s="515"/>
      <c r="IAK22" s="515"/>
      <c r="IAL22" s="515"/>
      <c r="IAM22" s="515"/>
      <c r="IAN22" s="515"/>
      <c r="IAO22" s="515"/>
      <c r="IAP22" s="515"/>
      <c r="IAQ22" s="515"/>
      <c r="IAR22" s="515"/>
      <c r="IAS22" s="515"/>
      <c r="IAT22" s="515"/>
      <c r="IAU22" s="515"/>
      <c r="IAV22" s="515"/>
      <c r="IAW22" s="515"/>
      <c r="IAX22" s="515"/>
      <c r="IAY22" s="515"/>
      <c r="IAZ22" s="515"/>
      <c r="IBA22" s="515"/>
      <c r="IBB22" s="515"/>
      <c r="IBC22" s="515"/>
      <c r="IBD22" s="515"/>
      <c r="IBE22" s="515"/>
      <c r="IBF22" s="515"/>
      <c r="IBG22" s="515"/>
      <c r="IBH22" s="515"/>
      <c r="IBI22" s="515"/>
      <c r="IBJ22" s="515"/>
      <c r="IBK22" s="515"/>
      <c r="IBL22" s="515"/>
      <c r="IBM22" s="515"/>
      <c r="IBN22" s="515"/>
      <c r="IBO22" s="515"/>
      <c r="IBP22" s="515"/>
      <c r="IBQ22" s="515"/>
      <c r="IBR22" s="515"/>
      <c r="IBS22" s="515"/>
      <c r="IBT22" s="515"/>
      <c r="IBU22" s="515"/>
      <c r="IBV22" s="515"/>
      <c r="IBW22" s="515"/>
      <c r="IBX22" s="515"/>
      <c r="IBY22" s="515"/>
      <c r="IBZ22" s="515"/>
      <c r="ICA22" s="515"/>
      <c r="ICB22" s="515"/>
      <c r="ICC22" s="515"/>
      <c r="ICD22" s="515"/>
      <c r="ICE22" s="515"/>
      <c r="ICF22" s="515"/>
      <c r="ICG22" s="515"/>
      <c r="ICH22" s="515"/>
      <c r="ICI22" s="515"/>
      <c r="ICJ22" s="515"/>
      <c r="ICK22" s="515"/>
      <c r="ICL22" s="515"/>
      <c r="ICM22" s="515"/>
      <c r="ICN22" s="515"/>
      <c r="ICO22" s="515"/>
      <c r="ICP22" s="515"/>
      <c r="ICQ22" s="515"/>
      <c r="ICR22" s="515"/>
      <c r="ICS22" s="515"/>
      <c r="ICT22" s="515"/>
      <c r="ICU22" s="515"/>
      <c r="ICV22" s="515"/>
      <c r="ICW22" s="515"/>
      <c r="ICX22" s="515"/>
      <c r="ICY22" s="515"/>
      <c r="ICZ22" s="515"/>
      <c r="IDA22" s="515"/>
      <c r="IDB22" s="515"/>
      <c r="IDC22" s="515"/>
      <c r="IDD22" s="515"/>
      <c r="IDE22" s="515"/>
      <c r="IDF22" s="515"/>
      <c r="IDG22" s="515"/>
      <c r="IDH22" s="515"/>
      <c r="IDI22" s="515"/>
      <c r="IDJ22" s="515"/>
      <c r="IDK22" s="515"/>
      <c r="IDL22" s="515"/>
      <c r="IDM22" s="515"/>
      <c r="IDN22" s="515"/>
      <c r="IDO22" s="515"/>
      <c r="IDP22" s="515"/>
      <c r="IDQ22" s="515"/>
      <c r="IDR22" s="515"/>
      <c r="IDS22" s="515"/>
      <c r="IDT22" s="515"/>
      <c r="IDU22" s="515"/>
      <c r="IDV22" s="515"/>
      <c r="IDW22" s="515"/>
      <c r="IDX22" s="515"/>
      <c r="IDY22" s="515"/>
      <c r="IDZ22" s="515"/>
      <c r="IEA22" s="515"/>
      <c r="IEB22" s="515"/>
      <c r="IEC22" s="515"/>
      <c r="IED22" s="515"/>
      <c r="IEE22" s="515"/>
      <c r="IEF22" s="515"/>
      <c r="IEG22" s="515"/>
      <c r="IEH22" s="515"/>
      <c r="IEI22" s="515"/>
      <c r="IEJ22" s="515"/>
      <c r="IEK22" s="515"/>
      <c r="IEL22" s="515"/>
      <c r="IEM22" s="515"/>
      <c r="IEN22" s="515"/>
      <c r="IEO22" s="515"/>
      <c r="IEP22" s="515"/>
      <c r="IEQ22" s="515"/>
      <c r="IER22" s="515"/>
      <c r="IES22" s="515"/>
      <c r="IET22" s="515"/>
      <c r="IEU22" s="515"/>
      <c r="IEV22" s="515"/>
      <c r="IEW22" s="515"/>
      <c r="IEX22" s="515"/>
      <c r="IEY22" s="515"/>
      <c r="IEZ22" s="515"/>
      <c r="IFA22" s="515"/>
      <c r="IFB22" s="515"/>
      <c r="IFC22" s="515"/>
      <c r="IFD22" s="515"/>
      <c r="IFE22" s="515"/>
      <c r="IFF22" s="515"/>
      <c r="IFG22" s="515"/>
      <c r="IFH22" s="515"/>
      <c r="IFI22" s="515"/>
      <c r="IFJ22" s="515"/>
      <c r="IFK22" s="515"/>
      <c r="IFL22" s="515"/>
      <c r="IFM22" s="515"/>
      <c r="IFN22" s="515"/>
      <c r="IFO22" s="515"/>
      <c r="IFP22" s="515"/>
      <c r="IFQ22" s="515"/>
      <c r="IFR22" s="515"/>
      <c r="IFS22" s="515"/>
      <c r="IFT22" s="515"/>
      <c r="IFU22" s="515"/>
      <c r="IFV22" s="515"/>
      <c r="IFW22" s="515"/>
      <c r="IFX22" s="515"/>
      <c r="IFY22" s="515"/>
      <c r="IFZ22" s="515"/>
      <c r="IGA22" s="515"/>
      <c r="IGB22" s="515"/>
      <c r="IGC22" s="515"/>
      <c r="IGD22" s="515"/>
      <c r="IGE22" s="515"/>
      <c r="IGF22" s="515"/>
      <c r="IGG22" s="515"/>
      <c r="IGH22" s="515"/>
      <c r="IGI22" s="515"/>
      <c r="IGJ22" s="515"/>
      <c r="IGK22" s="515"/>
      <c r="IGL22" s="515"/>
      <c r="IGM22" s="515"/>
      <c r="IGN22" s="515"/>
      <c r="IGO22" s="515"/>
      <c r="IGP22" s="515"/>
      <c r="IGQ22" s="515"/>
      <c r="IGR22" s="515"/>
      <c r="IGS22" s="515"/>
      <c r="IGT22" s="515"/>
      <c r="IGU22" s="515"/>
      <c r="IGV22" s="515"/>
      <c r="IGW22" s="515"/>
      <c r="IGX22" s="515"/>
      <c r="IGY22" s="515"/>
      <c r="IGZ22" s="515"/>
      <c r="IHA22" s="515"/>
      <c r="IHB22" s="515"/>
      <c r="IHC22" s="515"/>
      <c r="IHD22" s="515"/>
      <c r="IHE22" s="515"/>
      <c r="IHF22" s="515"/>
      <c r="IHG22" s="515"/>
      <c r="IHH22" s="515"/>
      <c r="IHI22" s="515"/>
      <c r="IHJ22" s="515"/>
      <c r="IHK22" s="515"/>
      <c r="IHL22" s="515"/>
      <c r="IHM22" s="515"/>
      <c r="IHN22" s="515"/>
      <c r="IHO22" s="515"/>
      <c r="IHP22" s="515"/>
      <c r="IHQ22" s="515"/>
      <c r="IHR22" s="515"/>
      <c r="IHS22" s="515"/>
      <c r="IHT22" s="515"/>
      <c r="IHU22" s="515"/>
      <c r="IHV22" s="515"/>
      <c r="IHW22" s="515"/>
      <c r="IHX22" s="515"/>
      <c r="IHY22" s="515"/>
      <c r="IHZ22" s="515"/>
      <c r="IIA22" s="515"/>
      <c r="IIB22" s="515"/>
      <c r="IIC22" s="515"/>
      <c r="IID22" s="515"/>
      <c r="IIE22" s="515"/>
      <c r="IIF22" s="515"/>
      <c r="IIG22" s="515"/>
      <c r="IIH22" s="515"/>
      <c r="III22" s="515"/>
      <c r="IIJ22" s="515"/>
      <c r="IIK22" s="515"/>
      <c r="IIL22" s="515"/>
      <c r="IIM22" s="515"/>
      <c r="IIN22" s="515"/>
      <c r="IIO22" s="515"/>
      <c r="IIP22" s="515"/>
      <c r="IIQ22" s="515"/>
      <c r="IIR22" s="515"/>
      <c r="IIS22" s="515"/>
      <c r="IIT22" s="515"/>
      <c r="IIU22" s="515"/>
      <c r="IIV22" s="515"/>
      <c r="IIW22" s="515"/>
      <c r="IIX22" s="515"/>
      <c r="IIY22" s="515"/>
      <c r="IIZ22" s="515"/>
      <c r="IJA22" s="515"/>
      <c r="IJB22" s="515"/>
      <c r="IJC22" s="515"/>
      <c r="IJD22" s="515"/>
      <c r="IJE22" s="515"/>
      <c r="IJF22" s="515"/>
      <c r="IJG22" s="515"/>
      <c r="IJH22" s="515"/>
      <c r="IJI22" s="515"/>
      <c r="IJJ22" s="515"/>
      <c r="IJK22" s="515"/>
      <c r="IJL22" s="515"/>
      <c r="IJM22" s="515"/>
      <c r="IJN22" s="515"/>
      <c r="IJO22" s="515"/>
      <c r="IJP22" s="515"/>
      <c r="IJQ22" s="515"/>
      <c r="IJR22" s="515"/>
      <c r="IJS22" s="515"/>
      <c r="IJT22" s="515"/>
      <c r="IJU22" s="515"/>
      <c r="IJV22" s="515"/>
      <c r="IJW22" s="515"/>
      <c r="IJX22" s="515"/>
      <c r="IJY22" s="515"/>
      <c r="IJZ22" s="515"/>
      <c r="IKA22" s="515"/>
      <c r="IKB22" s="515"/>
      <c r="IKC22" s="515"/>
      <c r="IKD22" s="515"/>
      <c r="IKE22" s="515"/>
      <c r="IKF22" s="515"/>
      <c r="IKG22" s="515"/>
      <c r="IKH22" s="515"/>
      <c r="IKI22" s="515"/>
      <c r="IKJ22" s="515"/>
      <c r="IKK22" s="515"/>
      <c r="IKL22" s="515"/>
      <c r="IKM22" s="515"/>
      <c r="IKN22" s="515"/>
      <c r="IKO22" s="515"/>
      <c r="IKP22" s="515"/>
      <c r="IKQ22" s="515"/>
      <c r="IKR22" s="515"/>
      <c r="IKS22" s="515"/>
      <c r="IKT22" s="515"/>
      <c r="IKU22" s="515"/>
      <c r="IKV22" s="515"/>
      <c r="IKW22" s="515"/>
      <c r="IKX22" s="515"/>
      <c r="IKY22" s="515"/>
      <c r="IKZ22" s="515"/>
      <c r="ILA22" s="515"/>
      <c r="ILB22" s="515"/>
      <c r="ILC22" s="515"/>
      <c r="ILD22" s="515"/>
      <c r="ILE22" s="515"/>
      <c r="ILF22" s="515"/>
      <c r="ILG22" s="515"/>
      <c r="ILH22" s="515"/>
      <c r="ILI22" s="515"/>
      <c r="ILJ22" s="515"/>
      <c r="ILK22" s="515"/>
      <c r="ILL22" s="515"/>
      <c r="ILM22" s="515"/>
      <c r="ILN22" s="515"/>
      <c r="ILO22" s="515"/>
      <c r="ILP22" s="515"/>
      <c r="ILQ22" s="515"/>
      <c r="ILR22" s="515"/>
      <c r="ILS22" s="515"/>
      <c r="ILT22" s="515"/>
      <c r="ILU22" s="515"/>
      <c r="ILV22" s="515"/>
      <c r="ILW22" s="515"/>
      <c r="ILX22" s="515"/>
      <c r="ILY22" s="515"/>
      <c r="ILZ22" s="515"/>
      <c r="IMA22" s="515"/>
      <c r="IMB22" s="515"/>
      <c r="IMC22" s="515"/>
      <c r="IMD22" s="515"/>
      <c r="IME22" s="515"/>
      <c r="IMF22" s="515"/>
      <c r="IMG22" s="515"/>
      <c r="IMH22" s="515"/>
      <c r="IMI22" s="515"/>
      <c r="IMJ22" s="515"/>
      <c r="IMK22" s="515"/>
      <c r="IML22" s="515"/>
      <c r="IMM22" s="515"/>
      <c r="IMN22" s="515"/>
      <c r="IMO22" s="515"/>
      <c r="IMP22" s="515"/>
      <c r="IMQ22" s="515"/>
      <c r="IMR22" s="515"/>
      <c r="IMS22" s="515"/>
      <c r="IMT22" s="515"/>
      <c r="IMU22" s="515"/>
      <c r="IMV22" s="515"/>
      <c r="IMW22" s="515"/>
      <c r="IMX22" s="515"/>
      <c r="IMY22" s="515"/>
      <c r="IMZ22" s="515"/>
      <c r="INA22" s="515"/>
      <c r="INB22" s="515"/>
      <c r="INC22" s="515"/>
      <c r="IND22" s="515"/>
      <c r="INE22" s="515"/>
      <c r="INF22" s="515"/>
      <c r="ING22" s="515"/>
      <c r="INH22" s="515"/>
      <c r="INI22" s="515"/>
      <c r="INJ22" s="515"/>
      <c r="INK22" s="515"/>
      <c r="INL22" s="515"/>
      <c r="INM22" s="515"/>
      <c r="INN22" s="515"/>
      <c r="INO22" s="515"/>
      <c r="INP22" s="515"/>
      <c r="INQ22" s="515"/>
      <c r="INR22" s="515"/>
      <c r="INS22" s="515"/>
      <c r="INT22" s="515"/>
      <c r="INU22" s="515"/>
      <c r="INV22" s="515"/>
      <c r="INW22" s="515"/>
      <c r="INX22" s="515"/>
      <c r="INY22" s="515"/>
      <c r="INZ22" s="515"/>
      <c r="IOA22" s="515"/>
      <c r="IOB22" s="515"/>
      <c r="IOC22" s="515"/>
      <c r="IOD22" s="515"/>
      <c r="IOE22" s="515"/>
      <c r="IOF22" s="515"/>
      <c r="IOG22" s="515"/>
      <c r="IOH22" s="515"/>
      <c r="IOI22" s="515"/>
      <c r="IOJ22" s="515"/>
      <c r="IOK22" s="515"/>
      <c r="IOL22" s="515"/>
      <c r="IOM22" s="515"/>
      <c r="ION22" s="515"/>
      <c r="IOO22" s="515"/>
      <c r="IOP22" s="515"/>
      <c r="IOQ22" s="515"/>
      <c r="IOR22" s="515"/>
      <c r="IOS22" s="515"/>
      <c r="IOT22" s="515"/>
      <c r="IOU22" s="515"/>
      <c r="IOV22" s="515"/>
      <c r="IOW22" s="515"/>
      <c r="IOX22" s="515"/>
      <c r="IOY22" s="515"/>
      <c r="IOZ22" s="515"/>
      <c r="IPA22" s="515"/>
      <c r="IPB22" s="515"/>
      <c r="IPC22" s="515"/>
      <c r="IPD22" s="515"/>
      <c r="IPE22" s="515"/>
      <c r="IPF22" s="515"/>
      <c r="IPG22" s="515"/>
      <c r="IPH22" s="515"/>
      <c r="IPI22" s="515"/>
      <c r="IPJ22" s="515"/>
      <c r="IPK22" s="515"/>
      <c r="IPL22" s="515"/>
      <c r="IPM22" s="515"/>
      <c r="IPN22" s="515"/>
      <c r="IPO22" s="515"/>
      <c r="IPP22" s="515"/>
      <c r="IPQ22" s="515"/>
      <c r="IPR22" s="515"/>
      <c r="IPS22" s="515"/>
      <c r="IPT22" s="515"/>
      <c r="IPU22" s="515"/>
      <c r="IPV22" s="515"/>
      <c r="IPW22" s="515"/>
      <c r="IPX22" s="515"/>
      <c r="IPY22" s="515"/>
      <c r="IPZ22" s="515"/>
      <c r="IQA22" s="515"/>
      <c r="IQB22" s="515"/>
      <c r="IQC22" s="515"/>
      <c r="IQD22" s="515"/>
      <c r="IQE22" s="515"/>
      <c r="IQF22" s="515"/>
      <c r="IQG22" s="515"/>
      <c r="IQH22" s="515"/>
      <c r="IQI22" s="515"/>
      <c r="IQJ22" s="515"/>
      <c r="IQK22" s="515"/>
      <c r="IQL22" s="515"/>
      <c r="IQM22" s="515"/>
      <c r="IQN22" s="515"/>
      <c r="IQO22" s="515"/>
      <c r="IQP22" s="515"/>
      <c r="IQQ22" s="515"/>
      <c r="IQR22" s="515"/>
      <c r="IQS22" s="515"/>
      <c r="IQT22" s="515"/>
      <c r="IQU22" s="515"/>
      <c r="IQV22" s="515"/>
      <c r="IQW22" s="515"/>
      <c r="IQX22" s="515"/>
      <c r="IQY22" s="515"/>
      <c r="IQZ22" s="515"/>
      <c r="IRA22" s="515"/>
      <c r="IRB22" s="515"/>
      <c r="IRC22" s="515"/>
      <c r="IRD22" s="515"/>
      <c r="IRE22" s="515"/>
      <c r="IRF22" s="515"/>
      <c r="IRG22" s="515"/>
      <c r="IRH22" s="515"/>
      <c r="IRI22" s="515"/>
      <c r="IRJ22" s="515"/>
      <c r="IRK22" s="515"/>
      <c r="IRL22" s="515"/>
      <c r="IRM22" s="515"/>
      <c r="IRN22" s="515"/>
      <c r="IRO22" s="515"/>
      <c r="IRP22" s="515"/>
      <c r="IRQ22" s="515"/>
      <c r="IRR22" s="515"/>
      <c r="IRS22" s="515"/>
      <c r="IRT22" s="515"/>
      <c r="IRU22" s="515"/>
      <c r="IRV22" s="515"/>
      <c r="IRW22" s="515"/>
      <c r="IRX22" s="515"/>
      <c r="IRY22" s="515"/>
      <c r="IRZ22" s="515"/>
      <c r="ISA22" s="515"/>
      <c r="ISB22" s="515"/>
      <c r="ISC22" s="515"/>
      <c r="ISD22" s="515"/>
      <c r="ISE22" s="515"/>
      <c r="ISF22" s="515"/>
      <c r="ISG22" s="515"/>
      <c r="ISH22" s="515"/>
      <c r="ISI22" s="515"/>
      <c r="ISJ22" s="515"/>
      <c r="ISK22" s="515"/>
      <c r="ISL22" s="515"/>
      <c r="ISM22" s="515"/>
      <c r="ISN22" s="515"/>
      <c r="ISO22" s="515"/>
      <c r="ISP22" s="515"/>
      <c r="ISQ22" s="515"/>
      <c r="ISR22" s="515"/>
      <c r="ISS22" s="515"/>
      <c r="IST22" s="515"/>
      <c r="ISU22" s="515"/>
      <c r="ISV22" s="515"/>
      <c r="ISW22" s="515"/>
      <c r="ISX22" s="515"/>
      <c r="ISY22" s="515"/>
      <c r="ISZ22" s="515"/>
      <c r="ITA22" s="515"/>
      <c r="ITB22" s="515"/>
      <c r="ITC22" s="515"/>
      <c r="ITD22" s="515"/>
      <c r="ITE22" s="515"/>
      <c r="ITF22" s="515"/>
      <c r="ITG22" s="515"/>
      <c r="ITH22" s="515"/>
      <c r="ITI22" s="515"/>
      <c r="ITJ22" s="515"/>
      <c r="ITK22" s="515"/>
      <c r="ITL22" s="515"/>
      <c r="ITM22" s="515"/>
      <c r="ITN22" s="515"/>
      <c r="ITO22" s="515"/>
      <c r="ITP22" s="515"/>
      <c r="ITQ22" s="515"/>
      <c r="ITR22" s="515"/>
      <c r="ITS22" s="515"/>
      <c r="ITT22" s="515"/>
      <c r="ITU22" s="515"/>
      <c r="ITV22" s="515"/>
      <c r="ITW22" s="515"/>
      <c r="ITX22" s="515"/>
      <c r="ITY22" s="515"/>
      <c r="ITZ22" s="515"/>
      <c r="IUA22" s="515"/>
      <c r="IUB22" s="515"/>
      <c r="IUC22" s="515"/>
      <c r="IUD22" s="515"/>
      <c r="IUE22" s="515"/>
      <c r="IUF22" s="515"/>
      <c r="IUG22" s="515"/>
      <c r="IUH22" s="515"/>
      <c r="IUI22" s="515"/>
      <c r="IUJ22" s="515"/>
      <c r="IUK22" s="515"/>
      <c r="IUL22" s="515"/>
      <c r="IUM22" s="515"/>
      <c r="IUN22" s="515"/>
      <c r="IUO22" s="515"/>
      <c r="IUP22" s="515"/>
      <c r="IUQ22" s="515"/>
      <c r="IUR22" s="515"/>
      <c r="IUS22" s="515"/>
      <c r="IUT22" s="515"/>
      <c r="IUU22" s="515"/>
      <c r="IUV22" s="515"/>
      <c r="IUW22" s="515"/>
      <c r="IUX22" s="515"/>
      <c r="IUY22" s="515"/>
      <c r="IUZ22" s="515"/>
      <c r="IVA22" s="515"/>
      <c r="IVB22" s="515"/>
      <c r="IVC22" s="515"/>
      <c r="IVD22" s="515"/>
      <c r="IVE22" s="515"/>
      <c r="IVF22" s="515"/>
      <c r="IVG22" s="515"/>
      <c r="IVH22" s="515"/>
      <c r="IVI22" s="515"/>
      <c r="IVJ22" s="515"/>
      <c r="IVK22" s="515"/>
      <c r="IVL22" s="515"/>
      <c r="IVM22" s="515"/>
      <c r="IVN22" s="515"/>
      <c r="IVO22" s="515"/>
      <c r="IVP22" s="515"/>
      <c r="IVQ22" s="515"/>
      <c r="IVR22" s="515"/>
      <c r="IVS22" s="515"/>
      <c r="IVT22" s="515"/>
      <c r="IVU22" s="515"/>
      <c r="IVV22" s="515"/>
      <c r="IVW22" s="515"/>
      <c r="IVX22" s="515"/>
      <c r="IVY22" s="515"/>
      <c r="IVZ22" s="515"/>
      <c r="IWA22" s="515"/>
      <c r="IWB22" s="515"/>
      <c r="IWC22" s="515"/>
      <c r="IWD22" s="515"/>
      <c r="IWE22" s="515"/>
      <c r="IWF22" s="515"/>
      <c r="IWG22" s="515"/>
      <c r="IWH22" s="515"/>
      <c r="IWI22" s="515"/>
      <c r="IWJ22" s="515"/>
      <c r="IWK22" s="515"/>
      <c r="IWL22" s="515"/>
      <c r="IWM22" s="515"/>
      <c r="IWN22" s="515"/>
      <c r="IWO22" s="515"/>
      <c r="IWP22" s="515"/>
      <c r="IWQ22" s="515"/>
      <c r="IWR22" s="515"/>
      <c r="IWS22" s="515"/>
      <c r="IWT22" s="515"/>
      <c r="IWU22" s="515"/>
      <c r="IWV22" s="515"/>
      <c r="IWW22" s="515"/>
      <c r="IWX22" s="515"/>
      <c r="IWY22" s="515"/>
      <c r="IWZ22" s="515"/>
      <c r="IXA22" s="515"/>
      <c r="IXB22" s="515"/>
      <c r="IXC22" s="515"/>
      <c r="IXD22" s="515"/>
      <c r="IXE22" s="515"/>
      <c r="IXF22" s="515"/>
      <c r="IXG22" s="515"/>
      <c r="IXH22" s="515"/>
      <c r="IXI22" s="515"/>
      <c r="IXJ22" s="515"/>
      <c r="IXK22" s="515"/>
      <c r="IXL22" s="515"/>
      <c r="IXM22" s="515"/>
      <c r="IXN22" s="515"/>
      <c r="IXO22" s="515"/>
      <c r="IXP22" s="515"/>
      <c r="IXQ22" s="515"/>
      <c r="IXR22" s="515"/>
      <c r="IXS22" s="515"/>
      <c r="IXT22" s="515"/>
      <c r="IXU22" s="515"/>
      <c r="IXV22" s="515"/>
      <c r="IXW22" s="515"/>
      <c r="IXX22" s="515"/>
      <c r="IXY22" s="515"/>
      <c r="IXZ22" s="515"/>
      <c r="IYA22" s="515"/>
      <c r="IYB22" s="515"/>
      <c r="IYC22" s="515"/>
      <c r="IYD22" s="515"/>
      <c r="IYE22" s="515"/>
      <c r="IYF22" s="515"/>
      <c r="IYG22" s="515"/>
      <c r="IYH22" s="515"/>
      <c r="IYI22" s="515"/>
      <c r="IYJ22" s="515"/>
      <c r="IYK22" s="515"/>
      <c r="IYL22" s="515"/>
      <c r="IYM22" s="515"/>
      <c r="IYN22" s="515"/>
      <c r="IYO22" s="515"/>
      <c r="IYP22" s="515"/>
      <c r="IYQ22" s="515"/>
      <c r="IYR22" s="515"/>
      <c r="IYS22" s="515"/>
      <c r="IYT22" s="515"/>
      <c r="IYU22" s="515"/>
      <c r="IYV22" s="515"/>
      <c r="IYW22" s="515"/>
      <c r="IYX22" s="515"/>
      <c r="IYY22" s="515"/>
      <c r="IYZ22" s="515"/>
      <c r="IZA22" s="515"/>
      <c r="IZB22" s="515"/>
      <c r="IZC22" s="515"/>
      <c r="IZD22" s="515"/>
      <c r="IZE22" s="515"/>
      <c r="IZF22" s="515"/>
      <c r="IZG22" s="515"/>
      <c r="IZH22" s="515"/>
      <c r="IZI22" s="515"/>
      <c r="IZJ22" s="515"/>
      <c r="IZK22" s="515"/>
      <c r="IZL22" s="515"/>
      <c r="IZM22" s="515"/>
      <c r="IZN22" s="515"/>
      <c r="IZO22" s="515"/>
      <c r="IZP22" s="515"/>
      <c r="IZQ22" s="515"/>
      <c r="IZR22" s="515"/>
      <c r="IZS22" s="515"/>
      <c r="IZT22" s="515"/>
      <c r="IZU22" s="515"/>
      <c r="IZV22" s="515"/>
      <c r="IZW22" s="515"/>
      <c r="IZX22" s="515"/>
      <c r="IZY22" s="515"/>
      <c r="IZZ22" s="515"/>
      <c r="JAA22" s="515"/>
      <c r="JAB22" s="515"/>
      <c r="JAC22" s="515"/>
      <c r="JAD22" s="515"/>
      <c r="JAE22" s="515"/>
      <c r="JAF22" s="515"/>
      <c r="JAG22" s="515"/>
      <c r="JAH22" s="515"/>
      <c r="JAI22" s="515"/>
      <c r="JAJ22" s="515"/>
      <c r="JAK22" s="515"/>
      <c r="JAL22" s="515"/>
      <c r="JAM22" s="515"/>
      <c r="JAN22" s="515"/>
      <c r="JAO22" s="515"/>
      <c r="JAP22" s="515"/>
      <c r="JAQ22" s="515"/>
      <c r="JAR22" s="515"/>
      <c r="JAS22" s="515"/>
      <c r="JAT22" s="515"/>
      <c r="JAU22" s="515"/>
      <c r="JAV22" s="515"/>
      <c r="JAW22" s="515"/>
      <c r="JAX22" s="515"/>
      <c r="JAY22" s="515"/>
      <c r="JAZ22" s="515"/>
      <c r="JBA22" s="515"/>
      <c r="JBB22" s="515"/>
      <c r="JBC22" s="515"/>
      <c r="JBD22" s="515"/>
      <c r="JBE22" s="515"/>
      <c r="JBF22" s="515"/>
      <c r="JBG22" s="515"/>
      <c r="JBH22" s="515"/>
      <c r="JBI22" s="515"/>
      <c r="JBJ22" s="515"/>
      <c r="JBK22" s="515"/>
      <c r="JBL22" s="515"/>
      <c r="JBM22" s="515"/>
      <c r="JBN22" s="515"/>
      <c r="JBO22" s="515"/>
      <c r="JBP22" s="515"/>
      <c r="JBQ22" s="515"/>
      <c r="JBR22" s="515"/>
      <c r="JBS22" s="515"/>
      <c r="JBT22" s="515"/>
      <c r="JBU22" s="515"/>
      <c r="JBV22" s="515"/>
      <c r="JBW22" s="515"/>
      <c r="JBX22" s="515"/>
      <c r="JBY22" s="515"/>
      <c r="JBZ22" s="515"/>
      <c r="JCA22" s="515"/>
      <c r="JCB22" s="515"/>
      <c r="JCC22" s="515"/>
      <c r="JCD22" s="515"/>
      <c r="JCE22" s="515"/>
      <c r="JCF22" s="515"/>
      <c r="JCG22" s="515"/>
      <c r="JCH22" s="515"/>
      <c r="JCI22" s="515"/>
      <c r="JCJ22" s="515"/>
      <c r="JCK22" s="515"/>
      <c r="JCL22" s="515"/>
      <c r="JCM22" s="515"/>
      <c r="JCN22" s="515"/>
      <c r="JCO22" s="515"/>
      <c r="JCP22" s="515"/>
      <c r="JCQ22" s="515"/>
      <c r="JCR22" s="515"/>
      <c r="JCS22" s="515"/>
      <c r="JCT22" s="515"/>
      <c r="JCU22" s="515"/>
      <c r="JCV22" s="515"/>
      <c r="JCW22" s="515"/>
      <c r="JCX22" s="515"/>
      <c r="JCY22" s="515"/>
      <c r="JCZ22" s="515"/>
      <c r="JDA22" s="515"/>
      <c r="JDB22" s="515"/>
      <c r="JDC22" s="515"/>
      <c r="JDD22" s="515"/>
      <c r="JDE22" s="515"/>
      <c r="JDF22" s="515"/>
      <c r="JDG22" s="515"/>
      <c r="JDH22" s="515"/>
      <c r="JDI22" s="515"/>
      <c r="JDJ22" s="515"/>
      <c r="JDK22" s="515"/>
      <c r="JDL22" s="515"/>
      <c r="JDM22" s="515"/>
      <c r="JDN22" s="515"/>
      <c r="JDO22" s="515"/>
      <c r="JDP22" s="515"/>
      <c r="JDQ22" s="515"/>
      <c r="JDR22" s="515"/>
      <c r="JDS22" s="515"/>
      <c r="JDT22" s="515"/>
      <c r="JDU22" s="515"/>
      <c r="JDV22" s="515"/>
      <c r="JDW22" s="515"/>
      <c r="JDX22" s="515"/>
      <c r="JDY22" s="515"/>
      <c r="JDZ22" s="515"/>
      <c r="JEA22" s="515"/>
      <c r="JEB22" s="515"/>
      <c r="JEC22" s="515"/>
      <c r="JED22" s="515"/>
      <c r="JEE22" s="515"/>
      <c r="JEF22" s="515"/>
      <c r="JEG22" s="515"/>
      <c r="JEH22" s="515"/>
      <c r="JEI22" s="515"/>
      <c r="JEJ22" s="515"/>
      <c r="JEK22" s="515"/>
      <c r="JEL22" s="515"/>
      <c r="JEM22" s="515"/>
      <c r="JEN22" s="515"/>
      <c r="JEO22" s="515"/>
      <c r="JEP22" s="515"/>
      <c r="JEQ22" s="515"/>
      <c r="JER22" s="515"/>
      <c r="JES22" s="515"/>
      <c r="JET22" s="515"/>
      <c r="JEU22" s="515"/>
      <c r="JEV22" s="515"/>
      <c r="JEW22" s="515"/>
      <c r="JEX22" s="515"/>
      <c r="JEY22" s="515"/>
      <c r="JEZ22" s="515"/>
      <c r="JFA22" s="515"/>
      <c r="JFB22" s="515"/>
      <c r="JFC22" s="515"/>
      <c r="JFD22" s="515"/>
      <c r="JFE22" s="515"/>
      <c r="JFF22" s="515"/>
      <c r="JFG22" s="515"/>
      <c r="JFH22" s="515"/>
      <c r="JFI22" s="515"/>
      <c r="JFJ22" s="515"/>
      <c r="JFK22" s="515"/>
      <c r="JFL22" s="515"/>
      <c r="JFM22" s="515"/>
      <c r="JFN22" s="515"/>
      <c r="JFO22" s="515"/>
      <c r="JFP22" s="515"/>
      <c r="JFQ22" s="515"/>
      <c r="JFR22" s="515"/>
      <c r="JFS22" s="515"/>
      <c r="JFT22" s="515"/>
      <c r="JFU22" s="515"/>
      <c r="JFV22" s="515"/>
      <c r="JFW22" s="515"/>
      <c r="JFX22" s="515"/>
      <c r="JFY22" s="515"/>
      <c r="JFZ22" s="515"/>
      <c r="JGA22" s="515"/>
      <c r="JGB22" s="515"/>
      <c r="JGC22" s="515"/>
      <c r="JGD22" s="515"/>
      <c r="JGE22" s="515"/>
      <c r="JGF22" s="515"/>
      <c r="JGG22" s="515"/>
      <c r="JGH22" s="515"/>
      <c r="JGI22" s="515"/>
      <c r="JGJ22" s="515"/>
      <c r="JGK22" s="515"/>
      <c r="JGL22" s="515"/>
      <c r="JGM22" s="515"/>
      <c r="JGN22" s="515"/>
      <c r="JGO22" s="515"/>
      <c r="JGP22" s="515"/>
      <c r="JGQ22" s="515"/>
      <c r="JGR22" s="515"/>
      <c r="JGS22" s="515"/>
      <c r="JGT22" s="515"/>
      <c r="JGU22" s="515"/>
      <c r="JGV22" s="515"/>
      <c r="JGW22" s="515"/>
      <c r="JGX22" s="515"/>
      <c r="JGY22" s="515"/>
      <c r="JGZ22" s="515"/>
      <c r="JHA22" s="515"/>
      <c r="JHB22" s="515"/>
      <c r="JHC22" s="515"/>
      <c r="JHD22" s="515"/>
      <c r="JHE22" s="515"/>
      <c r="JHF22" s="515"/>
      <c r="JHG22" s="515"/>
      <c r="JHH22" s="515"/>
      <c r="JHI22" s="515"/>
      <c r="JHJ22" s="515"/>
      <c r="JHK22" s="515"/>
      <c r="JHL22" s="515"/>
      <c r="JHM22" s="515"/>
      <c r="JHN22" s="515"/>
      <c r="JHO22" s="515"/>
      <c r="JHP22" s="515"/>
      <c r="JHQ22" s="515"/>
      <c r="JHR22" s="515"/>
      <c r="JHS22" s="515"/>
      <c r="JHT22" s="515"/>
      <c r="JHU22" s="515"/>
      <c r="JHV22" s="515"/>
      <c r="JHW22" s="515"/>
      <c r="JHX22" s="515"/>
      <c r="JHY22" s="515"/>
      <c r="JHZ22" s="515"/>
      <c r="JIA22" s="515"/>
      <c r="JIB22" s="515"/>
      <c r="JIC22" s="515"/>
      <c r="JID22" s="515"/>
      <c r="JIE22" s="515"/>
      <c r="JIF22" s="515"/>
      <c r="JIG22" s="515"/>
      <c r="JIH22" s="515"/>
      <c r="JII22" s="515"/>
      <c r="JIJ22" s="515"/>
      <c r="JIK22" s="515"/>
      <c r="JIL22" s="515"/>
      <c r="JIM22" s="515"/>
      <c r="JIN22" s="515"/>
      <c r="JIO22" s="515"/>
      <c r="JIP22" s="515"/>
      <c r="JIQ22" s="515"/>
      <c r="JIR22" s="515"/>
      <c r="JIS22" s="515"/>
      <c r="JIT22" s="515"/>
      <c r="JIU22" s="515"/>
      <c r="JIV22" s="515"/>
      <c r="JIW22" s="515"/>
      <c r="JIX22" s="515"/>
      <c r="JIY22" s="515"/>
      <c r="JIZ22" s="515"/>
      <c r="JJA22" s="515"/>
      <c r="JJB22" s="515"/>
      <c r="JJC22" s="515"/>
      <c r="JJD22" s="515"/>
      <c r="JJE22" s="515"/>
      <c r="JJF22" s="515"/>
      <c r="JJG22" s="515"/>
      <c r="JJH22" s="515"/>
      <c r="JJI22" s="515"/>
      <c r="JJJ22" s="515"/>
      <c r="JJK22" s="515"/>
      <c r="JJL22" s="515"/>
      <c r="JJM22" s="515"/>
      <c r="JJN22" s="515"/>
      <c r="JJO22" s="515"/>
      <c r="JJP22" s="515"/>
      <c r="JJQ22" s="515"/>
      <c r="JJR22" s="515"/>
      <c r="JJS22" s="515"/>
      <c r="JJT22" s="515"/>
      <c r="JJU22" s="515"/>
      <c r="JJV22" s="515"/>
      <c r="JJW22" s="515"/>
      <c r="JJX22" s="515"/>
      <c r="JJY22" s="515"/>
      <c r="JJZ22" s="515"/>
      <c r="JKA22" s="515"/>
      <c r="JKB22" s="515"/>
      <c r="JKC22" s="515"/>
      <c r="JKD22" s="515"/>
      <c r="JKE22" s="515"/>
      <c r="JKF22" s="515"/>
      <c r="JKG22" s="515"/>
      <c r="JKH22" s="515"/>
      <c r="JKI22" s="515"/>
      <c r="JKJ22" s="515"/>
      <c r="JKK22" s="515"/>
      <c r="JKL22" s="515"/>
      <c r="JKM22" s="515"/>
      <c r="JKN22" s="515"/>
      <c r="JKO22" s="515"/>
      <c r="JKP22" s="515"/>
      <c r="JKQ22" s="515"/>
      <c r="JKR22" s="515"/>
      <c r="JKS22" s="515"/>
      <c r="JKT22" s="515"/>
      <c r="JKU22" s="515"/>
      <c r="JKV22" s="515"/>
      <c r="JKW22" s="515"/>
      <c r="JKX22" s="515"/>
      <c r="JKY22" s="515"/>
      <c r="JKZ22" s="515"/>
      <c r="JLA22" s="515"/>
      <c r="JLB22" s="515"/>
      <c r="JLC22" s="515"/>
      <c r="JLD22" s="515"/>
      <c r="JLE22" s="515"/>
      <c r="JLF22" s="515"/>
      <c r="JLG22" s="515"/>
      <c r="JLH22" s="515"/>
      <c r="JLI22" s="515"/>
      <c r="JLJ22" s="515"/>
      <c r="JLK22" s="515"/>
      <c r="JLL22" s="515"/>
      <c r="JLM22" s="515"/>
      <c r="JLN22" s="515"/>
      <c r="JLO22" s="515"/>
      <c r="JLP22" s="515"/>
      <c r="JLQ22" s="515"/>
      <c r="JLR22" s="515"/>
      <c r="JLS22" s="515"/>
      <c r="JLT22" s="515"/>
      <c r="JLU22" s="515"/>
      <c r="JLV22" s="515"/>
      <c r="JLW22" s="515"/>
      <c r="JLX22" s="515"/>
      <c r="JLY22" s="515"/>
      <c r="JLZ22" s="515"/>
      <c r="JMA22" s="515"/>
      <c r="JMB22" s="515"/>
      <c r="JMC22" s="515"/>
      <c r="JMD22" s="515"/>
      <c r="JME22" s="515"/>
      <c r="JMF22" s="515"/>
      <c r="JMG22" s="515"/>
      <c r="JMH22" s="515"/>
      <c r="JMI22" s="515"/>
      <c r="JMJ22" s="515"/>
      <c r="JMK22" s="515"/>
      <c r="JML22" s="515"/>
      <c r="JMM22" s="515"/>
      <c r="JMN22" s="515"/>
      <c r="JMO22" s="515"/>
      <c r="JMP22" s="515"/>
      <c r="JMQ22" s="515"/>
      <c r="JMR22" s="515"/>
      <c r="JMS22" s="515"/>
      <c r="JMT22" s="515"/>
      <c r="JMU22" s="515"/>
      <c r="JMV22" s="515"/>
      <c r="JMW22" s="515"/>
      <c r="JMX22" s="515"/>
      <c r="JMY22" s="515"/>
      <c r="JMZ22" s="515"/>
      <c r="JNA22" s="515"/>
      <c r="JNB22" s="515"/>
      <c r="JNC22" s="515"/>
      <c r="JND22" s="515"/>
      <c r="JNE22" s="515"/>
      <c r="JNF22" s="515"/>
      <c r="JNG22" s="515"/>
      <c r="JNH22" s="515"/>
      <c r="JNI22" s="515"/>
      <c r="JNJ22" s="515"/>
      <c r="JNK22" s="515"/>
      <c r="JNL22" s="515"/>
      <c r="JNM22" s="515"/>
      <c r="JNN22" s="515"/>
      <c r="JNO22" s="515"/>
      <c r="JNP22" s="515"/>
      <c r="JNQ22" s="515"/>
      <c r="JNR22" s="515"/>
      <c r="JNS22" s="515"/>
      <c r="JNT22" s="515"/>
      <c r="JNU22" s="515"/>
      <c r="JNV22" s="515"/>
      <c r="JNW22" s="515"/>
      <c r="JNX22" s="515"/>
      <c r="JNY22" s="515"/>
      <c r="JNZ22" s="515"/>
      <c r="JOA22" s="515"/>
      <c r="JOB22" s="515"/>
      <c r="JOC22" s="515"/>
      <c r="JOD22" s="515"/>
      <c r="JOE22" s="515"/>
      <c r="JOF22" s="515"/>
      <c r="JOG22" s="515"/>
      <c r="JOH22" s="515"/>
      <c r="JOI22" s="515"/>
      <c r="JOJ22" s="515"/>
      <c r="JOK22" s="515"/>
      <c r="JOL22" s="515"/>
      <c r="JOM22" s="515"/>
      <c r="JON22" s="515"/>
      <c r="JOO22" s="515"/>
      <c r="JOP22" s="515"/>
      <c r="JOQ22" s="515"/>
      <c r="JOR22" s="515"/>
      <c r="JOS22" s="515"/>
      <c r="JOT22" s="515"/>
      <c r="JOU22" s="515"/>
      <c r="JOV22" s="515"/>
      <c r="JOW22" s="515"/>
      <c r="JOX22" s="515"/>
      <c r="JOY22" s="515"/>
      <c r="JOZ22" s="515"/>
      <c r="JPA22" s="515"/>
      <c r="JPB22" s="515"/>
      <c r="JPC22" s="515"/>
      <c r="JPD22" s="515"/>
      <c r="JPE22" s="515"/>
      <c r="JPF22" s="515"/>
      <c r="JPG22" s="515"/>
      <c r="JPH22" s="515"/>
      <c r="JPI22" s="515"/>
      <c r="JPJ22" s="515"/>
      <c r="JPK22" s="515"/>
      <c r="JPL22" s="515"/>
      <c r="JPM22" s="515"/>
      <c r="JPN22" s="515"/>
      <c r="JPO22" s="515"/>
      <c r="JPP22" s="515"/>
      <c r="JPQ22" s="515"/>
      <c r="JPR22" s="515"/>
      <c r="JPS22" s="515"/>
      <c r="JPT22" s="515"/>
      <c r="JPU22" s="515"/>
      <c r="JPV22" s="515"/>
      <c r="JPW22" s="515"/>
      <c r="JPX22" s="515"/>
      <c r="JPY22" s="515"/>
      <c r="JPZ22" s="515"/>
      <c r="JQA22" s="515"/>
      <c r="JQB22" s="515"/>
      <c r="JQC22" s="515"/>
      <c r="JQD22" s="515"/>
      <c r="JQE22" s="515"/>
      <c r="JQF22" s="515"/>
      <c r="JQG22" s="515"/>
      <c r="JQH22" s="515"/>
      <c r="JQI22" s="515"/>
      <c r="JQJ22" s="515"/>
      <c r="JQK22" s="515"/>
      <c r="JQL22" s="515"/>
      <c r="JQM22" s="515"/>
      <c r="JQN22" s="515"/>
      <c r="JQO22" s="515"/>
      <c r="JQP22" s="515"/>
      <c r="JQQ22" s="515"/>
      <c r="JQR22" s="515"/>
      <c r="JQS22" s="515"/>
      <c r="JQT22" s="515"/>
      <c r="JQU22" s="515"/>
      <c r="JQV22" s="515"/>
      <c r="JQW22" s="515"/>
      <c r="JQX22" s="515"/>
      <c r="JQY22" s="515"/>
      <c r="JQZ22" s="515"/>
      <c r="JRA22" s="515"/>
      <c r="JRB22" s="515"/>
      <c r="JRC22" s="515"/>
      <c r="JRD22" s="515"/>
      <c r="JRE22" s="515"/>
      <c r="JRF22" s="515"/>
      <c r="JRG22" s="515"/>
      <c r="JRH22" s="515"/>
      <c r="JRI22" s="515"/>
      <c r="JRJ22" s="515"/>
      <c r="JRK22" s="515"/>
      <c r="JRL22" s="515"/>
      <c r="JRM22" s="515"/>
      <c r="JRN22" s="515"/>
      <c r="JRO22" s="515"/>
      <c r="JRP22" s="515"/>
      <c r="JRQ22" s="515"/>
      <c r="JRR22" s="515"/>
      <c r="JRS22" s="515"/>
      <c r="JRT22" s="515"/>
      <c r="JRU22" s="515"/>
      <c r="JRV22" s="515"/>
      <c r="JRW22" s="515"/>
      <c r="JRX22" s="515"/>
      <c r="JRY22" s="515"/>
      <c r="JRZ22" s="515"/>
      <c r="JSA22" s="515"/>
      <c r="JSB22" s="515"/>
      <c r="JSC22" s="515"/>
      <c r="JSD22" s="515"/>
      <c r="JSE22" s="515"/>
      <c r="JSF22" s="515"/>
      <c r="JSG22" s="515"/>
      <c r="JSH22" s="515"/>
      <c r="JSI22" s="515"/>
      <c r="JSJ22" s="515"/>
      <c r="JSK22" s="515"/>
      <c r="JSL22" s="515"/>
      <c r="JSM22" s="515"/>
      <c r="JSN22" s="515"/>
      <c r="JSO22" s="515"/>
      <c r="JSP22" s="515"/>
      <c r="JSQ22" s="515"/>
      <c r="JSR22" s="515"/>
      <c r="JSS22" s="515"/>
      <c r="JST22" s="515"/>
      <c r="JSU22" s="515"/>
      <c r="JSV22" s="515"/>
      <c r="JSW22" s="515"/>
      <c r="JSX22" s="515"/>
      <c r="JSY22" s="515"/>
      <c r="JSZ22" s="515"/>
      <c r="JTA22" s="515"/>
      <c r="JTB22" s="515"/>
      <c r="JTC22" s="515"/>
      <c r="JTD22" s="515"/>
      <c r="JTE22" s="515"/>
      <c r="JTF22" s="515"/>
      <c r="JTG22" s="515"/>
      <c r="JTH22" s="515"/>
      <c r="JTI22" s="515"/>
      <c r="JTJ22" s="515"/>
      <c r="JTK22" s="515"/>
      <c r="JTL22" s="515"/>
      <c r="JTM22" s="515"/>
      <c r="JTN22" s="515"/>
      <c r="JTO22" s="515"/>
      <c r="JTP22" s="515"/>
      <c r="JTQ22" s="515"/>
      <c r="JTR22" s="515"/>
      <c r="JTS22" s="515"/>
      <c r="JTT22" s="515"/>
      <c r="JTU22" s="515"/>
      <c r="JTV22" s="515"/>
      <c r="JTW22" s="515"/>
      <c r="JTX22" s="515"/>
      <c r="JTY22" s="515"/>
      <c r="JTZ22" s="515"/>
      <c r="JUA22" s="515"/>
      <c r="JUB22" s="515"/>
      <c r="JUC22" s="515"/>
      <c r="JUD22" s="515"/>
      <c r="JUE22" s="515"/>
      <c r="JUF22" s="515"/>
      <c r="JUG22" s="515"/>
      <c r="JUH22" s="515"/>
      <c r="JUI22" s="515"/>
      <c r="JUJ22" s="515"/>
      <c r="JUK22" s="515"/>
      <c r="JUL22" s="515"/>
      <c r="JUM22" s="515"/>
      <c r="JUN22" s="515"/>
      <c r="JUO22" s="515"/>
      <c r="JUP22" s="515"/>
      <c r="JUQ22" s="515"/>
      <c r="JUR22" s="515"/>
      <c r="JUS22" s="515"/>
      <c r="JUT22" s="515"/>
      <c r="JUU22" s="515"/>
      <c r="JUV22" s="515"/>
      <c r="JUW22" s="515"/>
      <c r="JUX22" s="515"/>
      <c r="JUY22" s="515"/>
      <c r="JUZ22" s="515"/>
      <c r="JVA22" s="515"/>
      <c r="JVB22" s="515"/>
      <c r="JVC22" s="515"/>
      <c r="JVD22" s="515"/>
      <c r="JVE22" s="515"/>
      <c r="JVF22" s="515"/>
      <c r="JVG22" s="515"/>
      <c r="JVH22" s="515"/>
      <c r="JVI22" s="515"/>
      <c r="JVJ22" s="515"/>
      <c r="JVK22" s="515"/>
      <c r="JVL22" s="515"/>
      <c r="JVM22" s="515"/>
      <c r="JVN22" s="515"/>
      <c r="JVO22" s="515"/>
      <c r="JVP22" s="515"/>
      <c r="JVQ22" s="515"/>
      <c r="JVR22" s="515"/>
      <c r="JVS22" s="515"/>
      <c r="JVT22" s="515"/>
      <c r="JVU22" s="515"/>
      <c r="JVV22" s="515"/>
      <c r="JVW22" s="515"/>
      <c r="JVX22" s="515"/>
      <c r="JVY22" s="515"/>
      <c r="JVZ22" s="515"/>
      <c r="JWA22" s="515"/>
      <c r="JWB22" s="515"/>
      <c r="JWC22" s="515"/>
      <c r="JWD22" s="515"/>
      <c r="JWE22" s="515"/>
      <c r="JWF22" s="515"/>
      <c r="JWG22" s="515"/>
      <c r="JWH22" s="515"/>
      <c r="JWI22" s="515"/>
      <c r="JWJ22" s="515"/>
      <c r="JWK22" s="515"/>
      <c r="JWL22" s="515"/>
      <c r="JWM22" s="515"/>
      <c r="JWN22" s="515"/>
      <c r="JWO22" s="515"/>
      <c r="JWP22" s="515"/>
      <c r="JWQ22" s="515"/>
      <c r="JWR22" s="515"/>
      <c r="JWS22" s="515"/>
      <c r="JWT22" s="515"/>
      <c r="JWU22" s="515"/>
      <c r="JWV22" s="515"/>
      <c r="JWW22" s="515"/>
      <c r="JWX22" s="515"/>
      <c r="JWY22" s="515"/>
      <c r="JWZ22" s="515"/>
      <c r="JXA22" s="515"/>
      <c r="JXB22" s="515"/>
      <c r="JXC22" s="515"/>
      <c r="JXD22" s="515"/>
      <c r="JXE22" s="515"/>
      <c r="JXF22" s="515"/>
      <c r="JXG22" s="515"/>
      <c r="JXH22" s="515"/>
      <c r="JXI22" s="515"/>
      <c r="JXJ22" s="515"/>
      <c r="JXK22" s="515"/>
      <c r="JXL22" s="515"/>
      <c r="JXM22" s="515"/>
      <c r="JXN22" s="515"/>
      <c r="JXO22" s="515"/>
      <c r="JXP22" s="515"/>
      <c r="JXQ22" s="515"/>
      <c r="JXR22" s="515"/>
      <c r="JXS22" s="515"/>
      <c r="JXT22" s="515"/>
      <c r="JXU22" s="515"/>
      <c r="JXV22" s="515"/>
      <c r="JXW22" s="515"/>
      <c r="JXX22" s="515"/>
      <c r="JXY22" s="515"/>
      <c r="JXZ22" s="515"/>
      <c r="JYA22" s="515"/>
      <c r="JYB22" s="515"/>
      <c r="JYC22" s="515"/>
      <c r="JYD22" s="515"/>
      <c r="JYE22" s="515"/>
      <c r="JYF22" s="515"/>
      <c r="JYG22" s="515"/>
      <c r="JYH22" s="515"/>
      <c r="JYI22" s="515"/>
      <c r="JYJ22" s="515"/>
      <c r="JYK22" s="515"/>
      <c r="JYL22" s="515"/>
      <c r="JYM22" s="515"/>
      <c r="JYN22" s="515"/>
      <c r="JYO22" s="515"/>
      <c r="JYP22" s="515"/>
      <c r="JYQ22" s="515"/>
      <c r="JYR22" s="515"/>
      <c r="JYS22" s="515"/>
      <c r="JYT22" s="515"/>
      <c r="JYU22" s="515"/>
      <c r="JYV22" s="515"/>
      <c r="JYW22" s="515"/>
      <c r="JYX22" s="515"/>
      <c r="JYY22" s="515"/>
      <c r="JYZ22" s="515"/>
      <c r="JZA22" s="515"/>
      <c r="JZB22" s="515"/>
      <c r="JZC22" s="515"/>
      <c r="JZD22" s="515"/>
      <c r="JZE22" s="515"/>
      <c r="JZF22" s="515"/>
      <c r="JZG22" s="515"/>
      <c r="JZH22" s="515"/>
      <c r="JZI22" s="515"/>
      <c r="JZJ22" s="515"/>
      <c r="JZK22" s="515"/>
      <c r="JZL22" s="515"/>
      <c r="JZM22" s="515"/>
      <c r="JZN22" s="515"/>
      <c r="JZO22" s="515"/>
      <c r="JZP22" s="515"/>
      <c r="JZQ22" s="515"/>
      <c r="JZR22" s="515"/>
      <c r="JZS22" s="515"/>
      <c r="JZT22" s="515"/>
      <c r="JZU22" s="515"/>
      <c r="JZV22" s="515"/>
      <c r="JZW22" s="515"/>
      <c r="JZX22" s="515"/>
      <c r="JZY22" s="515"/>
      <c r="JZZ22" s="515"/>
      <c r="KAA22" s="515"/>
      <c r="KAB22" s="515"/>
      <c r="KAC22" s="515"/>
      <c r="KAD22" s="515"/>
      <c r="KAE22" s="515"/>
      <c r="KAF22" s="515"/>
      <c r="KAG22" s="515"/>
      <c r="KAH22" s="515"/>
      <c r="KAI22" s="515"/>
      <c r="KAJ22" s="515"/>
      <c r="KAK22" s="515"/>
      <c r="KAL22" s="515"/>
      <c r="KAM22" s="515"/>
      <c r="KAN22" s="515"/>
      <c r="KAO22" s="515"/>
      <c r="KAP22" s="515"/>
      <c r="KAQ22" s="515"/>
      <c r="KAR22" s="515"/>
      <c r="KAS22" s="515"/>
      <c r="KAT22" s="515"/>
      <c r="KAU22" s="515"/>
      <c r="KAV22" s="515"/>
      <c r="KAW22" s="515"/>
      <c r="KAX22" s="515"/>
      <c r="KAY22" s="515"/>
      <c r="KAZ22" s="515"/>
      <c r="KBA22" s="515"/>
      <c r="KBB22" s="515"/>
      <c r="KBC22" s="515"/>
      <c r="KBD22" s="515"/>
      <c r="KBE22" s="515"/>
      <c r="KBF22" s="515"/>
      <c r="KBG22" s="515"/>
      <c r="KBH22" s="515"/>
      <c r="KBI22" s="515"/>
      <c r="KBJ22" s="515"/>
      <c r="KBK22" s="515"/>
      <c r="KBL22" s="515"/>
      <c r="KBM22" s="515"/>
      <c r="KBN22" s="515"/>
      <c r="KBO22" s="515"/>
      <c r="KBP22" s="515"/>
      <c r="KBQ22" s="515"/>
      <c r="KBR22" s="515"/>
      <c r="KBS22" s="515"/>
      <c r="KBT22" s="515"/>
      <c r="KBU22" s="515"/>
      <c r="KBV22" s="515"/>
      <c r="KBW22" s="515"/>
      <c r="KBX22" s="515"/>
      <c r="KBY22" s="515"/>
      <c r="KBZ22" s="515"/>
      <c r="KCA22" s="515"/>
      <c r="KCB22" s="515"/>
      <c r="KCC22" s="515"/>
      <c r="KCD22" s="515"/>
      <c r="KCE22" s="515"/>
      <c r="KCF22" s="515"/>
      <c r="KCG22" s="515"/>
      <c r="KCH22" s="515"/>
      <c r="KCI22" s="515"/>
      <c r="KCJ22" s="515"/>
      <c r="KCK22" s="515"/>
      <c r="KCL22" s="515"/>
      <c r="KCM22" s="515"/>
      <c r="KCN22" s="515"/>
      <c r="KCO22" s="515"/>
      <c r="KCP22" s="515"/>
      <c r="KCQ22" s="515"/>
      <c r="KCR22" s="515"/>
      <c r="KCS22" s="515"/>
      <c r="KCT22" s="515"/>
      <c r="KCU22" s="515"/>
      <c r="KCV22" s="515"/>
      <c r="KCW22" s="515"/>
      <c r="KCX22" s="515"/>
      <c r="KCY22" s="515"/>
      <c r="KCZ22" s="515"/>
      <c r="KDA22" s="515"/>
      <c r="KDB22" s="515"/>
      <c r="KDC22" s="515"/>
      <c r="KDD22" s="515"/>
      <c r="KDE22" s="515"/>
      <c r="KDF22" s="515"/>
      <c r="KDG22" s="515"/>
      <c r="KDH22" s="515"/>
      <c r="KDI22" s="515"/>
      <c r="KDJ22" s="515"/>
      <c r="KDK22" s="515"/>
      <c r="KDL22" s="515"/>
      <c r="KDM22" s="515"/>
      <c r="KDN22" s="515"/>
      <c r="KDO22" s="515"/>
      <c r="KDP22" s="515"/>
      <c r="KDQ22" s="515"/>
      <c r="KDR22" s="515"/>
      <c r="KDS22" s="515"/>
      <c r="KDT22" s="515"/>
      <c r="KDU22" s="515"/>
      <c r="KDV22" s="515"/>
      <c r="KDW22" s="515"/>
      <c r="KDX22" s="515"/>
      <c r="KDY22" s="515"/>
      <c r="KDZ22" s="515"/>
      <c r="KEA22" s="515"/>
      <c r="KEB22" s="515"/>
      <c r="KEC22" s="515"/>
      <c r="KED22" s="515"/>
      <c r="KEE22" s="515"/>
      <c r="KEF22" s="515"/>
      <c r="KEG22" s="515"/>
      <c r="KEH22" s="515"/>
      <c r="KEI22" s="515"/>
      <c r="KEJ22" s="515"/>
      <c r="KEK22" s="515"/>
      <c r="KEL22" s="515"/>
      <c r="KEM22" s="515"/>
      <c r="KEN22" s="515"/>
      <c r="KEO22" s="515"/>
      <c r="KEP22" s="515"/>
      <c r="KEQ22" s="515"/>
      <c r="KER22" s="515"/>
      <c r="KES22" s="515"/>
      <c r="KET22" s="515"/>
      <c r="KEU22" s="515"/>
      <c r="KEV22" s="515"/>
      <c r="KEW22" s="515"/>
      <c r="KEX22" s="515"/>
      <c r="KEY22" s="515"/>
      <c r="KEZ22" s="515"/>
      <c r="KFA22" s="515"/>
      <c r="KFB22" s="515"/>
      <c r="KFC22" s="515"/>
      <c r="KFD22" s="515"/>
      <c r="KFE22" s="515"/>
      <c r="KFF22" s="515"/>
      <c r="KFG22" s="515"/>
      <c r="KFH22" s="515"/>
      <c r="KFI22" s="515"/>
      <c r="KFJ22" s="515"/>
      <c r="KFK22" s="515"/>
      <c r="KFL22" s="515"/>
      <c r="KFM22" s="515"/>
      <c r="KFN22" s="515"/>
      <c r="KFO22" s="515"/>
      <c r="KFP22" s="515"/>
      <c r="KFQ22" s="515"/>
      <c r="KFR22" s="515"/>
      <c r="KFS22" s="515"/>
      <c r="KFT22" s="515"/>
      <c r="KFU22" s="515"/>
      <c r="KFV22" s="515"/>
      <c r="KFW22" s="515"/>
      <c r="KFX22" s="515"/>
      <c r="KFY22" s="515"/>
      <c r="KFZ22" s="515"/>
      <c r="KGA22" s="515"/>
      <c r="KGB22" s="515"/>
      <c r="KGC22" s="515"/>
      <c r="KGD22" s="515"/>
      <c r="KGE22" s="515"/>
      <c r="KGF22" s="515"/>
      <c r="KGG22" s="515"/>
      <c r="KGH22" s="515"/>
      <c r="KGI22" s="515"/>
      <c r="KGJ22" s="515"/>
      <c r="KGK22" s="515"/>
      <c r="KGL22" s="515"/>
      <c r="KGM22" s="515"/>
      <c r="KGN22" s="515"/>
      <c r="KGO22" s="515"/>
      <c r="KGP22" s="515"/>
      <c r="KGQ22" s="515"/>
      <c r="KGR22" s="515"/>
      <c r="KGS22" s="515"/>
      <c r="KGT22" s="515"/>
      <c r="KGU22" s="515"/>
      <c r="KGV22" s="515"/>
      <c r="KGW22" s="515"/>
      <c r="KGX22" s="515"/>
      <c r="KGY22" s="515"/>
      <c r="KGZ22" s="515"/>
      <c r="KHA22" s="515"/>
      <c r="KHB22" s="515"/>
      <c r="KHC22" s="515"/>
      <c r="KHD22" s="515"/>
      <c r="KHE22" s="515"/>
      <c r="KHF22" s="515"/>
      <c r="KHG22" s="515"/>
      <c r="KHH22" s="515"/>
      <c r="KHI22" s="515"/>
      <c r="KHJ22" s="515"/>
      <c r="KHK22" s="515"/>
      <c r="KHL22" s="515"/>
      <c r="KHM22" s="515"/>
      <c r="KHN22" s="515"/>
      <c r="KHO22" s="515"/>
      <c r="KHP22" s="515"/>
      <c r="KHQ22" s="515"/>
      <c r="KHR22" s="515"/>
      <c r="KHS22" s="515"/>
      <c r="KHT22" s="515"/>
      <c r="KHU22" s="515"/>
      <c r="KHV22" s="515"/>
      <c r="KHW22" s="515"/>
      <c r="KHX22" s="515"/>
      <c r="KHY22" s="515"/>
      <c r="KHZ22" s="515"/>
      <c r="KIA22" s="515"/>
      <c r="KIB22" s="515"/>
      <c r="KIC22" s="515"/>
      <c r="KID22" s="515"/>
      <c r="KIE22" s="515"/>
      <c r="KIF22" s="515"/>
      <c r="KIG22" s="515"/>
      <c r="KIH22" s="515"/>
      <c r="KII22" s="515"/>
      <c r="KIJ22" s="515"/>
      <c r="KIK22" s="515"/>
      <c r="KIL22" s="515"/>
      <c r="KIM22" s="515"/>
      <c r="KIN22" s="515"/>
      <c r="KIO22" s="515"/>
      <c r="KIP22" s="515"/>
      <c r="KIQ22" s="515"/>
      <c r="KIR22" s="515"/>
      <c r="KIS22" s="515"/>
      <c r="KIT22" s="515"/>
      <c r="KIU22" s="515"/>
      <c r="KIV22" s="515"/>
      <c r="KIW22" s="515"/>
      <c r="KIX22" s="515"/>
      <c r="KIY22" s="515"/>
      <c r="KIZ22" s="515"/>
      <c r="KJA22" s="515"/>
      <c r="KJB22" s="515"/>
      <c r="KJC22" s="515"/>
      <c r="KJD22" s="515"/>
      <c r="KJE22" s="515"/>
      <c r="KJF22" s="515"/>
      <c r="KJG22" s="515"/>
      <c r="KJH22" s="515"/>
      <c r="KJI22" s="515"/>
      <c r="KJJ22" s="515"/>
      <c r="KJK22" s="515"/>
      <c r="KJL22" s="515"/>
      <c r="KJM22" s="515"/>
      <c r="KJN22" s="515"/>
      <c r="KJO22" s="515"/>
      <c r="KJP22" s="515"/>
      <c r="KJQ22" s="515"/>
      <c r="KJR22" s="515"/>
      <c r="KJS22" s="515"/>
      <c r="KJT22" s="515"/>
      <c r="KJU22" s="515"/>
      <c r="KJV22" s="515"/>
      <c r="KJW22" s="515"/>
      <c r="KJX22" s="515"/>
      <c r="KJY22" s="515"/>
      <c r="KJZ22" s="515"/>
      <c r="KKA22" s="515"/>
      <c r="KKB22" s="515"/>
      <c r="KKC22" s="515"/>
      <c r="KKD22" s="515"/>
      <c r="KKE22" s="515"/>
      <c r="KKF22" s="515"/>
      <c r="KKG22" s="515"/>
      <c r="KKH22" s="515"/>
      <c r="KKI22" s="515"/>
      <c r="KKJ22" s="515"/>
      <c r="KKK22" s="515"/>
      <c r="KKL22" s="515"/>
      <c r="KKM22" s="515"/>
      <c r="KKN22" s="515"/>
      <c r="KKO22" s="515"/>
      <c r="KKP22" s="515"/>
      <c r="KKQ22" s="515"/>
      <c r="KKR22" s="515"/>
      <c r="KKS22" s="515"/>
      <c r="KKT22" s="515"/>
      <c r="KKU22" s="515"/>
      <c r="KKV22" s="515"/>
      <c r="KKW22" s="515"/>
      <c r="KKX22" s="515"/>
      <c r="KKY22" s="515"/>
      <c r="KKZ22" s="515"/>
      <c r="KLA22" s="515"/>
      <c r="KLB22" s="515"/>
      <c r="KLC22" s="515"/>
      <c r="KLD22" s="515"/>
      <c r="KLE22" s="515"/>
      <c r="KLF22" s="515"/>
      <c r="KLG22" s="515"/>
      <c r="KLH22" s="515"/>
      <c r="KLI22" s="515"/>
      <c r="KLJ22" s="515"/>
      <c r="KLK22" s="515"/>
      <c r="KLL22" s="515"/>
      <c r="KLM22" s="515"/>
      <c r="KLN22" s="515"/>
      <c r="KLO22" s="515"/>
      <c r="KLP22" s="515"/>
      <c r="KLQ22" s="515"/>
      <c r="KLR22" s="515"/>
      <c r="KLS22" s="515"/>
      <c r="KLT22" s="515"/>
      <c r="KLU22" s="515"/>
      <c r="KLV22" s="515"/>
      <c r="KLW22" s="515"/>
      <c r="KLX22" s="515"/>
      <c r="KLY22" s="515"/>
      <c r="KLZ22" s="515"/>
      <c r="KMA22" s="515"/>
      <c r="KMB22" s="515"/>
      <c r="KMC22" s="515"/>
      <c r="KMD22" s="515"/>
      <c r="KME22" s="515"/>
      <c r="KMF22" s="515"/>
      <c r="KMG22" s="515"/>
      <c r="KMH22" s="515"/>
      <c r="KMI22" s="515"/>
      <c r="KMJ22" s="515"/>
      <c r="KMK22" s="515"/>
      <c r="KML22" s="515"/>
      <c r="KMM22" s="515"/>
      <c r="KMN22" s="515"/>
      <c r="KMO22" s="515"/>
      <c r="KMP22" s="515"/>
      <c r="KMQ22" s="515"/>
      <c r="KMR22" s="515"/>
      <c r="KMS22" s="515"/>
      <c r="KMT22" s="515"/>
      <c r="KMU22" s="515"/>
      <c r="KMV22" s="515"/>
      <c r="KMW22" s="515"/>
      <c r="KMX22" s="515"/>
      <c r="KMY22" s="515"/>
      <c r="KMZ22" s="515"/>
      <c r="KNA22" s="515"/>
      <c r="KNB22" s="515"/>
      <c r="KNC22" s="515"/>
      <c r="KND22" s="515"/>
      <c r="KNE22" s="515"/>
      <c r="KNF22" s="515"/>
      <c r="KNG22" s="515"/>
      <c r="KNH22" s="515"/>
      <c r="KNI22" s="515"/>
      <c r="KNJ22" s="515"/>
      <c r="KNK22" s="515"/>
      <c r="KNL22" s="515"/>
      <c r="KNM22" s="515"/>
      <c r="KNN22" s="515"/>
      <c r="KNO22" s="515"/>
      <c r="KNP22" s="515"/>
      <c r="KNQ22" s="515"/>
      <c r="KNR22" s="515"/>
      <c r="KNS22" s="515"/>
      <c r="KNT22" s="515"/>
      <c r="KNU22" s="515"/>
      <c r="KNV22" s="515"/>
      <c r="KNW22" s="515"/>
      <c r="KNX22" s="515"/>
      <c r="KNY22" s="515"/>
      <c r="KNZ22" s="515"/>
      <c r="KOA22" s="515"/>
      <c r="KOB22" s="515"/>
      <c r="KOC22" s="515"/>
      <c r="KOD22" s="515"/>
      <c r="KOE22" s="515"/>
      <c r="KOF22" s="515"/>
      <c r="KOG22" s="515"/>
      <c r="KOH22" s="515"/>
      <c r="KOI22" s="515"/>
      <c r="KOJ22" s="515"/>
      <c r="KOK22" s="515"/>
      <c r="KOL22" s="515"/>
      <c r="KOM22" s="515"/>
      <c r="KON22" s="515"/>
      <c r="KOO22" s="515"/>
      <c r="KOP22" s="515"/>
      <c r="KOQ22" s="515"/>
      <c r="KOR22" s="515"/>
      <c r="KOS22" s="515"/>
      <c r="KOT22" s="515"/>
      <c r="KOU22" s="515"/>
      <c r="KOV22" s="515"/>
      <c r="KOW22" s="515"/>
      <c r="KOX22" s="515"/>
      <c r="KOY22" s="515"/>
      <c r="KOZ22" s="515"/>
      <c r="KPA22" s="515"/>
      <c r="KPB22" s="515"/>
      <c r="KPC22" s="515"/>
      <c r="KPD22" s="515"/>
      <c r="KPE22" s="515"/>
      <c r="KPF22" s="515"/>
      <c r="KPG22" s="515"/>
      <c r="KPH22" s="515"/>
      <c r="KPI22" s="515"/>
      <c r="KPJ22" s="515"/>
      <c r="KPK22" s="515"/>
      <c r="KPL22" s="515"/>
      <c r="KPM22" s="515"/>
      <c r="KPN22" s="515"/>
      <c r="KPO22" s="515"/>
      <c r="KPP22" s="515"/>
      <c r="KPQ22" s="515"/>
      <c r="KPR22" s="515"/>
      <c r="KPS22" s="515"/>
      <c r="KPT22" s="515"/>
      <c r="KPU22" s="515"/>
      <c r="KPV22" s="515"/>
      <c r="KPW22" s="515"/>
      <c r="KPX22" s="515"/>
      <c r="KPY22" s="515"/>
      <c r="KPZ22" s="515"/>
      <c r="KQA22" s="515"/>
      <c r="KQB22" s="515"/>
      <c r="KQC22" s="515"/>
      <c r="KQD22" s="515"/>
      <c r="KQE22" s="515"/>
      <c r="KQF22" s="515"/>
      <c r="KQG22" s="515"/>
      <c r="KQH22" s="515"/>
      <c r="KQI22" s="515"/>
      <c r="KQJ22" s="515"/>
      <c r="KQK22" s="515"/>
      <c r="KQL22" s="515"/>
      <c r="KQM22" s="515"/>
      <c r="KQN22" s="515"/>
      <c r="KQO22" s="515"/>
      <c r="KQP22" s="515"/>
      <c r="KQQ22" s="515"/>
      <c r="KQR22" s="515"/>
      <c r="KQS22" s="515"/>
      <c r="KQT22" s="515"/>
      <c r="KQU22" s="515"/>
      <c r="KQV22" s="515"/>
      <c r="KQW22" s="515"/>
      <c r="KQX22" s="515"/>
      <c r="KQY22" s="515"/>
      <c r="KQZ22" s="515"/>
      <c r="KRA22" s="515"/>
      <c r="KRB22" s="515"/>
      <c r="KRC22" s="515"/>
      <c r="KRD22" s="515"/>
      <c r="KRE22" s="515"/>
      <c r="KRF22" s="515"/>
      <c r="KRG22" s="515"/>
      <c r="KRH22" s="515"/>
      <c r="KRI22" s="515"/>
      <c r="KRJ22" s="515"/>
      <c r="KRK22" s="515"/>
      <c r="KRL22" s="515"/>
      <c r="KRM22" s="515"/>
      <c r="KRN22" s="515"/>
      <c r="KRO22" s="515"/>
      <c r="KRP22" s="515"/>
      <c r="KRQ22" s="515"/>
      <c r="KRR22" s="515"/>
      <c r="KRS22" s="515"/>
      <c r="KRT22" s="515"/>
      <c r="KRU22" s="515"/>
      <c r="KRV22" s="515"/>
      <c r="KRW22" s="515"/>
      <c r="KRX22" s="515"/>
      <c r="KRY22" s="515"/>
      <c r="KRZ22" s="515"/>
      <c r="KSA22" s="515"/>
      <c r="KSB22" s="515"/>
      <c r="KSC22" s="515"/>
      <c r="KSD22" s="515"/>
      <c r="KSE22" s="515"/>
      <c r="KSF22" s="515"/>
      <c r="KSG22" s="515"/>
      <c r="KSH22" s="515"/>
      <c r="KSI22" s="515"/>
      <c r="KSJ22" s="515"/>
      <c r="KSK22" s="515"/>
      <c r="KSL22" s="515"/>
      <c r="KSM22" s="515"/>
      <c r="KSN22" s="515"/>
      <c r="KSO22" s="515"/>
      <c r="KSP22" s="515"/>
      <c r="KSQ22" s="515"/>
      <c r="KSR22" s="515"/>
      <c r="KSS22" s="515"/>
      <c r="KST22" s="515"/>
      <c r="KSU22" s="515"/>
      <c r="KSV22" s="515"/>
      <c r="KSW22" s="515"/>
      <c r="KSX22" s="515"/>
      <c r="KSY22" s="515"/>
      <c r="KSZ22" s="515"/>
      <c r="KTA22" s="515"/>
      <c r="KTB22" s="515"/>
      <c r="KTC22" s="515"/>
      <c r="KTD22" s="515"/>
      <c r="KTE22" s="515"/>
      <c r="KTF22" s="515"/>
      <c r="KTG22" s="515"/>
      <c r="KTH22" s="515"/>
      <c r="KTI22" s="515"/>
      <c r="KTJ22" s="515"/>
      <c r="KTK22" s="515"/>
      <c r="KTL22" s="515"/>
      <c r="KTM22" s="515"/>
      <c r="KTN22" s="515"/>
      <c r="KTO22" s="515"/>
      <c r="KTP22" s="515"/>
      <c r="KTQ22" s="515"/>
      <c r="KTR22" s="515"/>
      <c r="KTS22" s="515"/>
      <c r="KTT22" s="515"/>
      <c r="KTU22" s="515"/>
      <c r="KTV22" s="515"/>
      <c r="KTW22" s="515"/>
      <c r="KTX22" s="515"/>
      <c r="KTY22" s="515"/>
      <c r="KTZ22" s="515"/>
      <c r="KUA22" s="515"/>
      <c r="KUB22" s="515"/>
      <c r="KUC22" s="515"/>
      <c r="KUD22" s="515"/>
      <c r="KUE22" s="515"/>
      <c r="KUF22" s="515"/>
      <c r="KUG22" s="515"/>
      <c r="KUH22" s="515"/>
      <c r="KUI22" s="515"/>
      <c r="KUJ22" s="515"/>
      <c r="KUK22" s="515"/>
      <c r="KUL22" s="515"/>
      <c r="KUM22" s="515"/>
      <c r="KUN22" s="515"/>
      <c r="KUO22" s="515"/>
      <c r="KUP22" s="515"/>
      <c r="KUQ22" s="515"/>
      <c r="KUR22" s="515"/>
      <c r="KUS22" s="515"/>
      <c r="KUT22" s="515"/>
      <c r="KUU22" s="515"/>
      <c r="KUV22" s="515"/>
      <c r="KUW22" s="515"/>
      <c r="KUX22" s="515"/>
      <c r="KUY22" s="515"/>
      <c r="KUZ22" s="515"/>
      <c r="KVA22" s="515"/>
      <c r="KVB22" s="515"/>
      <c r="KVC22" s="515"/>
      <c r="KVD22" s="515"/>
      <c r="KVE22" s="515"/>
      <c r="KVF22" s="515"/>
      <c r="KVG22" s="515"/>
      <c r="KVH22" s="515"/>
      <c r="KVI22" s="515"/>
      <c r="KVJ22" s="515"/>
      <c r="KVK22" s="515"/>
      <c r="KVL22" s="515"/>
      <c r="KVM22" s="515"/>
      <c r="KVN22" s="515"/>
      <c r="KVO22" s="515"/>
      <c r="KVP22" s="515"/>
      <c r="KVQ22" s="515"/>
      <c r="KVR22" s="515"/>
      <c r="KVS22" s="515"/>
      <c r="KVT22" s="515"/>
      <c r="KVU22" s="515"/>
      <c r="KVV22" s="515"/>
      <c r="KVW22" s="515"/>
      <c r="KVX22" s="515"/>
      <c r="KVY22" s="515"/>
      <c r="KVZ22" s="515"/>
      <c r="KWA22" s="515"/>
      <c r="KWB22" s="515"/>
      <c r="KWC22" s="515"/>
      <c r="KWD22" s="515"/>
      <c r="KWE22" s="515"/>
      <c r="KWF22" s="515"/>
      <c r="KWG22" s="515"/>
      <c r="KWH22" s="515"/>
      <c r="KWI22" s="515"/>
      <c r="KWJ22" s="515"/>
      <c r="KWK22" s="515"/>
      <c r="KWL22" s="515"/>
      <c r="KWM22" s="515"/>
      <c r="KWN22" s="515"/>
      <c r="KWO22" s="515"/>
      <c r="KWP22" s="515"/>
      <c r="KWQ22" s="515"/>
      <c r="KWR22" s="515"/>
      <c r="KWS22" s="515"/>
      <c r="KWT22" s="515"/>
      <c r="KWU22" s="515"/>
      <c r="KWV22" s="515"/>
      <c r="KWW22" s="515"/>
      <c r="KWX22" s="515"/>
      <c r="KWY22" s="515"/>
      <c r="KWZ22" s="515"/>
      <c r="KXA22" s="515"/>
      <c r="KXB22" s="515"/>
      <c r="KXC22" s="515"/>
      <c r="KXD22" s="515"/>
      <c r="KXE22" s="515"/>
      <c r="KXF22" s="515"/>
      <c r="KXG22" s="515"/>
      <c r="KXH22" s="515"/>
      <c r="KXI22" s="515"/>
      <c r="KXJ22" s="515"/>
      <c r="KXK22" s="515"/>
      <c r="KXL22" s="515"/>
      <c r="KXM22" s="515"/>
      <c r="KXN22" s="515"/>
      <c r="KXO22" s="515"/>
      <c r="KXP22" s="515"/>
      <c r="KXQ22" s="515"/>
      <c r="KXR22" s="515"/>
      <c r="KXS22" s="515"/>
      <c r="KXT22" s="515"/>
      <c r="KXU22" s="515"/>
      <c r="KXV22" s="515"/>
      <c r="KXW22" s="515"/>
      <c r="KXX22" s="515"/>
      <c r="KXY22" s="515"/>
      <c r="KXZ22" s="515"/>
      <c r="KYA22" s="515"/>
      <c r="KYB22" s="515"/>
      <c r="KYC22" s="515"/>
      <c r="KYD22" s="515"/>
      <c r="KYE22" s="515"/>
      <c r="KYF22" s="515"/>
      <c r="KYG22" s="515"/>
      <c r="KYH22" s="515"/>
      <c r="KYI22" s="515"/>
      <c r="KYJ22" s="515"/>
      <c r="KYK22" s="515"/>
      <c r="KYL22" s="515"/>
      <c r="KYM22" s="515"/>
      <c r="KYN22" s="515"/>
      <c r="KYO22" s="515"/>
      <c r="KYP22" s="515"/>
      <c r="KYQ22" s="515"/>
      <c r="KYR22" s="515"/>
      <c r="KYS22" s="515"/>
      <c r="KYT22" s="515"/>
      <c r="KYU22" s="515"/>
      <c r="KYV22" s="515"/>
      <c r="KYW22" s="515"/>
      <c r="KYX22" s="515"/>
      <c r="KYY22" s="515"/>
      <c r="KYZ22" s="515"/>
      <c r="KZA22" s="515"/>
      <c r="KZB22" s="515"/>
      <c r="KZC22" s="515"/>
      <c r="KZD22" s="515"/>
      <c r="KZE22" s="515"/>
      <c r="KZF22" s="515"/>
      <c r="KZG22" s="515"/>
      <c r="KZH22" s="515"/>
      <c r="KZI22" s="515"/>
      <c r="KZJ22" s="515"/>
      <c r="KZK22" s="515"/>
      <c r="KZL22" s="515"/>
      <c r="KZM22" s="515"/>
      <c r="KZN22" s="515"/>
      <c r="KZO22" s="515"/>
      <c r="KZP22" s="515"/>
      <c r="KZQ22" s="515"/>
      <c r="KZR22" s="515"/>
      <c r="KZS22" s="515"/>
      <c r="KZT22" s="515"/>
      <c r="KZU22" s="515"/>
      <c r="KZV22" s="515"/>
      <c r="KZW22" s="515"/>
      <c r="KZX22" s="515"/>
      <c r="KZY22" s="515"/>
      <c r="KZZ22" s="515"/>
      <c r="LAA22" s="515"/>
      <c r="LAB22" s="515"/>
      <c r="LAC22" s="515"/>
      <c r="LAD22" s="515"/>
      <c r="LAE22" s="515"/>
      <c r="LAF22" s="515"/>
      <c r="LAG22" s="515"/>
      <c r="LAH22" s="515"/>
      <c r="LAI22" s="515"/>
      <c r="LAJ22" s="515"/>
      <c r="LAK22" s="515"/>
      <c r="LAL22" s="515"/>
      <c r="LAM22" s="515"/>
      <c r="LAN22" s="515"/>
      <c r="LAO22" s="515"/>
      <c r="LAP22" s="515"/>
      <c r="LAQ22" s="515"/>
      <c r="LAR22" s="515"/>
      <c r="LAS22" s="515"/>
      <c r="LAT22" s="515"/>
      <c r="LAU22" s="515"/>
      <c r="LAV22" s="515"/>
      <c r="LAW22" s="515"/>
      <c r="LAX22" s="515"/>
      <c r="LAY22" s="515"/>
      <c r="LAZ22" s="515"/>
      <c r="LBA22" s="515"/>
      <c r="LBB22" s="515"/>
      <c r="LBC22" s="515"/>
      <c r="LBD22" s="515"/>
      <c r="LBE22" s="515"/>
      <c r="LBF22" s="515"/>
      <c r="LBG22" s="515"/>
      <c r="LBH22" s="515"/>
      <c r="LBI22" s="515"/>
      <c r="LBJ22" s="515"/>
      <c r="LBK22" s="515"/>
      <c r="LBL22" s="515"/>
      <c r="LBM22" s="515"/>
      <c r="LBN22" s="515"/>
      <c r="LBO22" s="515"/>
      <c r="LBP22" s="515"/>
      <c r="LBQ22" s="515"/>
      <c r="LBR22" s="515"/>
      <c r="LBS22" s="515"/>
      <c r="LBT22" s="515"/>
      <c r="LBU22" s="515"/>
      <c r="LBV22" s="515"/>
      <c r="LBW22" s="515"/>
      <c r="LBX22" s="515"/>
      <c r="LBY22" s="515"/>
      <c r="LBZ22" s="515"/>
      <c r="LCA22" s="515"/>
      <c r="LCB22" s="515"/>
      <c r="LCC22" s="515"/>
      <c r="LCD22" s="515"/>
      <c r="LCE22" s="515"/>
      <c r="LCF22" s="515"/>
      <c r="LCG22" s="515"/>
      <c r="LCH22" s="515"/>
      <c r="LCI22" s="515"/>
      <c r="LCJ22" s="515"/>
      <c r="LCK22" s="515"/>
      <c r="LCL22" s="515"/>
      <c r="LCM22" s="515"/>
      <c r="LCN22" s="515"/>
      <c r="LCO22" s="515"/>
      <c r="LCP22" s="515"/>
      <c r="LCQ22" s="515"/>
      <c r="LCR22" s="515"/>
      <c r="LCS22" s="515"/>
      <c r="LCT22" s="515"/>
      <c r="LCU22" s="515"/>
      <c r="LCV22" s="515"/>
      <c r="LCW22" s="515"/>
      <c r="LCX22" s="515"/>
      <c r="LCY22" s="515"/>
      <c r="LCZ22" s="515"/>
      <c r="LDA22" s="515"/>
      <c r="LDB22" s="515"/>
      <c r="LDC22" s="515"/>
      <c r="LDD22" s="515"/>
      <c r="LDE22" s="515"/>
      <c r="LDF22" s="515"/>
      <c r="LDG22" s="515"/>
      <c r="LDH22" s="515"/>
      <c r="LDI22" s="515"/>
      <c r="LDJ22" s="515"/>
      <c r="LDK22" s="515"/>
      <c r="LDL22" s="515"/>
      <c r="LDM22" s="515"/>
      <c r="LDN22" s="515"/>
      <c r="LDO22" s="515"/>
      <c r="LDP22" s="515"/>
      <c r="LDQ22" s="515"/>
      <c r="LDR22" s="515"/>
      <c r="LDS22" s="515"/>
      <c r="LDT22" s="515"/>
      <c r="LDU22" s="515"/>
      <c r="LDV22" s="515"/>
      <c r="LDW22" s="515"/>
      <c r="LDX22" s="515"/>
      <c r="LDY22" s="515"/>
      <c r="LDZ22" s="515"/>
      <c r="LEA22" s="515"/>
      <c r="LEB22" s="515"/>
      <c r="LEC22" s="515"/>
      <c r="LED22" s="515"/>
      <c r="LEE22" s="515"/>
      <c r="LEF22" s="515"/>
      <c r="LEG22" s="515"/>
      <c r="LEH22" s="515"/>
      <c r="LEI22" s="515"/>
      <c r="LEJ22" s="515"/>
      <c r="LEK22" s="515"/>
      <c r="LEL22" s="515"/>
      <c r="LEM22" s="515"/>
      <c r="LEN22" s="515"/>
      <c r="LEO22" s="515"/>
      <c r="LEP22" s="515"/>
      <c r="LEQ22" s="515"/>
      <c r="LER22" s="515"/>
      <c r="LES22" s="515"/>
      <c r="LET22" s="515"/>
      <c r="LEU22" s="515"/>
      <c r="LEV22" s="515"/>
      <c r="LEW22" s="515"/>
      <c r="LEX22" s="515"/>
      <c r="LEY22" s="515"/>
      <c r="LEZ22" s="515"/>
      <c r="LFA22" s="515"/>
      <c r="LFB22" s="515"/>
      <c r="LFC22" s="515"/>
      <c r="LFD22" s="515"/>
      <c r="LFE22" s="515"/>
      <c r="LFF22" s="515"/>
      <c r="LFG22" s="515"/>
      <c r="LFH22" s="515"/>
      <c r="LFI22" s="515"/>
      <c r="LFJ22" s="515"/>
      <c r="LFK22" s="515"/>
      <c r="LFL22" s="515"/>
      <c r="LFM22" s="515"/>
      <c r="LFN22" s="515"/>
      <c r="LFO22" s="515"/>
      <c r="LFP22" s="515"/>
      <c r="LFQ22" s="515"/>
      <c r="LFR22" s="515"/>
      <c r="LFS22" s="515"/>
      <c r="LFT22" s="515"/>
      <c r="LFU22" s="515"/>
      <c r="LFV22" s="515"/>
      <c r="LFW22" s="515"/>
      <c r="LFX22" s="515"/>
      <c r="LFY22" s="515"/>
      <c r="LFZ22" s="515"/>
      <c r="LGA22" s="515"/>
      <c r="LGB22" s="515"/>
      <c r="LGC22" s="515"/>
      <c r="LGD22" s="515"/>
      <c r="LGE22" s="515"/>
      <c r="LGF22" s="515"/>
      <c r="LGG22" s="515"/>
      <c r="LGH22" s="515"/>
      <c r="LGI22" s="515"/>
      <c r="LGJ22" s="515"/>
      <c r="LGK22" s="515"/>
      <c r="LGL22" s="515"/>
      <c r="LGM22" s="515"/>
      <c r="LGN22" s="515"/>
      <c r="LGO22" s="515"/>
      <c r="LGP22" s="515"/>
      <c r="LGQ22" s="515"/>
      <c r="LGR22" s="515"/>
      <c r="LGS22" s="515"/>
      <c r="LGT22" s="515"/>
      <c r="LGU22" s="515"/>
      <c r="LGV22" s="515"/>
      <c r="LGW22" s="515"/>
      <c r="LGX22" s="515"/>
      <c r="LGY22" s="515"/>
      <c r="LGZ22" s="515"/>
      <c r="LHA22" s="515"/>
      <c r="LHB22" s="515"/>
      <c r="LHC22" s="515"/>
      <c r="LHD22" s="515"/>
      <c r="LHE22" s="515"/>
      <c r="LHF22" s="515"/>
      <c r="LHG22" s="515"/>
      <c r="LHH22" s="515"/>
      <c r="LHI22" s="515"/>
      <c r="LHJ22" s="515"/>
      <c r="LHK22" s="515"/>
      <c r="LHL22" s="515"/>
      <c r="LHM22" s="515"/>
      <c r="LHN22" s="515"/>
      <c r="LHO22" s="515"/>
      <c r="LHP22" s="515"/>
      <c r="LHQ22" s="515"/>
      <c r="LHR22" s="515"/>
      <c r="LHS22" s="515"/>
      <c r="LHT22" s="515"/>
      <c r="LHU22" s="515"/>
      <c r="LHV22" s="515"/>
      <c r="LHW22" s="515"/>
      <c r="LHX22" s="515"/>
      <c r="LHY22" s="515"/>
      <c r="LHZ22" s="515"/>
      <c r="LIA22" s="515"/>
      <c r="LIB22" s="515"/>
      <c r="LIC22" s="515"/>
      <c r="LID22" s="515"/>
      <c r="LIE22" s="515"/>
      <c r="LIF22" s="515"/>
      <c r="LIG22" s="515"/>
      <c r="LIH22" s="515"/>
      <c r="LII22" s="515"/>
      <c r="LIJ22" s="515"/>
      <c r="LIK22" s="515"/>
      <c r="LIL22" s="515"/>
      <c r="LIM22" s="515"/>
      <c r="LIN22" s="515"/>
      <c r="LIO22" s="515"/>
      <c r="LIP22" s="515"/>
      <c r="LIQ22" s="515"/>
      <c r="LIR22" s="515"/>
      <c r="LIS22" s="515"/>
      <c r="LIT22" s="515"/>
      <c r="LIU22" s="515"/>
      <c r="LIV22" s="515"/>
      <c r="LIW22" s="515"/>
      <c r="LIX22" s="515"/>
      <c r="LIY22" s="515"/>
      <c r="LIZ22" s="515"/>
      <c r="LJA22" s="515"/>
      <c r="LJB22" s="515"/>
      <c r="LJC22" s="515"/>
      <c r="LJD22" s="515"/>
      <c r="LJE22" s="515"/>
      <c r="LJF22" s="515"/>
      <c r="LJG22" s="515"/>
      <c r="LJH22" s="515"/>
      <c r="LJI22" s="515"/>
      <c r="LJJ22" s="515"/>
      <c r="LJK22" s="515"/>
      <c r="LJL22" s="515"/>
      <c r="LJM22" s="515"/>
      <c r="LJN22" s="515"/>
      <c r="LJO22" s="515"/>
      <c r="LJP22" s="515"/>
      <c r="LJQ22" s="515"/>
      <c r="LJR22" s="515"/>
      <c r="LJS22" s="515"/>
      <c r="LJT22" s="515"/>
      <c r="LJU22" s="515"/>
      <c r="LJV22" s="515"/>
      <c r="LJW22" s="515"/>
      <c r="LJX22" s="515"/>
      <c r="LJY22" s="515"/>
      <c r="LJZ22" s="515"/>
      <c r="LKA22" s="515"/>
      <c r="LKB22" s="515"/>
      <c r="LKC22" s="515"/>
      <c r="LKD22" s="515"/>
      <c r="LKE22" s="515"/>
      <c r="LKF22" s="515"/>
      <c r="LKG22" s="515"/>
      <c r="LKH22" s="515"/>
      <c r="LKI22" s="515"/>
      <c r="LKJ22" s="515"/>
      <c r="LKK22" s="515"/>
      <c r="LKL22" s="515"/>
      <c r="LKM22" s="515"/>
      <c r="LKN22" s="515"/>
      <c r="LKO22" s="515"/>
      <c r="LKP22" s="515"/>
      <c r="LKQ22" s="515"/>
      <c r="LKR22" s="515"/>
      <c r="LKS22" s="515"/>
      <c r="LKT22" s="515"/>
      <c r="LKU22" s="515"/>
      <c r="LKV22" s="515"/>
      <c r="LKW22" s="515"/>
      <c r="LKX22" s="515"/>
      <c r="LKY22" s="515"/>
      <c r="LKZ22" s="515"/>
      <c r="LLA22" s="515"/>
      <c r="LLB22" s="515"/>
      <c r="LLC22" s="515"/>
      <c r="LLD22" s="515"/>
      <c r="LLE22" s="515"/>
      <c r="LLF22" s="515"/>
      <c r="LLG22" s="515"/>
      <c r="LLH22" s="515"/>
      <c r="LLI22" s="515"/>
      <c r="LLJ22" s="515"/>
      <c r="LLK22" s="515"/>
      <c r="LLL22" s="515"/>
      <c r="LLM22" s="515"/>
      <c r="LLN22" s="515"/>
      <c r="LLO22" s="515"/>
      <c r="LLP22" s="515"/>
      <c r="LLQ22" s="515"/>
      <c r="LLR22" s="515"/>
      <c r="LLS22" s="515"/>
      <c r="LLT22" s="515"/>
      <c r="LLU22" s="515"/>
      <c r="LLV22" s="515"/>
      <c r="LLW22" s="515"/>
      <c r="LLX22" s="515"/>
      <c r="LLY22" s="515"/>
      <c r="LLZ22" s="515"/>
      <c r="LMA22" s="515"/>
      <c r="LMB22" s="515"/>
      <c r="LMC22" s="515"/>
      <c r="LMD22" s="515"/>
      <c r="LME22" s="515"/>
      <c r="LMF22" s="515"/>
      <c r="LMG22" s="515"/>
      <c r="LMH22" s="515"/>
      <c r="LMI22" s="515"/>
      <c r="LMJ22" s="515"/>
      <c r="LMK22" s="515"/>
      <c r="LML22" s="515"/>
      <c r="LMM22" s="515"/>
      <c r="LMN22" s="515"/>
      <c r="LMO22" s="515"/>
      <c r="LMP22" s="515"/>
      <c r="LMQ22" s="515"/>
      <c r="LMR22" s="515"/>
      <c r="LMS22" s="515"/>
      <c r="LMT22" s="515"/>
      <c r="LMU22" s="515"/>
      <c r="LMV22" s="515"/>
      <c r="LMW22" s="515"/>
      <c r="LMX22" s="515"/>
      <c r="LMY22" s="515"/>
      <c r="LMZ22" s="515"/>
      <c r="LNA22" s="515"/>
      <c r="LNB22" s="515"/>
      <c r="LNC22" s="515"/>
      <c r="LND22" s="515"/>
      <c r="LNE22" s="515"/>
      <c r="LNF22" s="515"/>
      <c r="LNG22" s="515"/>
      <c r="LNH22" s="515"/>
      <c r="LNI22" s="515"/>
      <c r="LNJ22" s="515"/>
      <c r="LNK22" s="515"/>
      <c r="LNL22" s="515"/>
      <c r="LNM22" s="515"/>
      <c r="LNN22" s="515"/>
      <c r="LNO22" s="515"/>
      <c r="LNP22" s="515"/>
      <c r="LNQ22" s="515"/>
      <c r="LNR22" s="515"/>
      <c r="LNS22" s="515"/>
      <c r="LNT22" s="515"/>
      <c r="LNU22" s="515"/>
      <c r="LNV22" s="515"/>
      <c r="LNW22" s="515"/>
      <c r="LNX22" s="515"/>
      <c r="LNY22" s="515"/>
      <c r="LNZ22" s="515"/>
      <c r="LOA22" s="515"/>
      <c r="LOB22" s="515"/>
      <c r="LOC22" s="515"/>
      <c r="LOD22" s="515"/>
      <c r="LOE22" s="515"/>
      <c r="LOF22" s="515"/>
      <c r="LOG22" s="515"/>
      <c r="LOH22" s="515"/>
      <c r="LOI22" s="515"/>
      <c r="LOJ22" s="515"/>
      <c r="LOK22" s="515"/>
      <c r="LOL22" s="515"/>
      <c r="LOM22" s="515"/>
      <c r="LON22" s="515"/>
      <c r="LOO22" s="515"/>
      <c r="LOP22" s="515"/>
      <c r="LOQ22" s="515"/>
      <c r="LOR22" s="515"/>
      <c r="LOS22" s="515"/>
      <c r="LOT22" s="515"/>
      <c r="LOU22" s="515"/>
      <c r="LOV22" s="515"/>
      <c r="LOW22" s="515"/>
      <c r="LOX22" s="515"/>
      <c r="LOY22" s="515"/>
      <c r="LOZ22" s="515"/>
      <c r="LPA22" s="515"/>
      <c r="LPB22" s="515"/>
      <c r="LPC22" s="515"/>
      <c r="LPD22" s="515"/>
      <c r="LPE22" s="515"/>
      <c r="LPF22" s="515"/>
      <c r="LPG22" s="515"/>
      <c r="LPH22" s="515"/>
      <c r="LPI22" s="515"/>
      <c r="LPJ22" s="515"/>
      <c r="LPK22" s="515"/>
      <c r="LPL22" s="515"/>
      <c r="LPM22" s="515"/>
      <c r="LPN22" s="515"/>
      <c r="LPO22" s="515"/>
      <c r="LPP22" s="515"/>
      <c r="LPQ22" s="515"/>
      <c r="LPR22" s="515"/>
      <c r="LPS22" s="515"/>
      <c r="LPT22" s="515"/>
      <c r="LPU22" s="515"/>
      <c r="LPV22" s="515"/>
      <c r="LPW22" s="515"/>
      <c r="LPX22" s="515"/>
      <c r="LPY22" s="515"/>
      <c r="LPZ22" s="515"/>
      <c r="LQA22" s="515"/>
      <c r="LQB22" s="515"/>
      <c r="LQC22" s="515"/>
      <c r="LQD22" s="515"/>
      <c r="LQE22" s="515"/>
      <c r="LQF22" s="515"/>
      <c r="LQG22" s="515"/>
      <c r="LQH22" s="515"/>
      <c r="LQI22" s="515"/>
      <c r="LQJ22" s="515"/>
      <c r="LQK22" s="515"/>
      <c r="LQL22" s="515"/>
      <c r="LQM22" s="515"/>
      <c r="LQN22" s="515"/>
      <c r="LQO22" s="515"/>
      <c r="LQP22" s="515"/>
      <c r="LQQ22" s="515"/>
      <c r="LQR22" s="515"/>
      <c r="LQS22" s="515"/>
      <c r="LQT22" s="515"/>
      <c r="LQU22" s="515"/>
      <c r="LQV22" s="515"/>
      <c r="LQW22" s="515"/>
      <c r="LQX22" s="515"/>
      <c r="LQY22" s="515"/>
      <c r="LQZ22" s="515"/>
      <c r="LRA22" s="515"/>
      <c r="LRB22" s="515"/>
      <c r="LRC22" s="515"/>
      <c r="LRD22" s="515"/>
      <c r="LRE22" s="515"/>
      <c r="LRF22" s="515"/>
      <c r="LRG22" s="515"/>
      <c r="LRH22" s="515"/>
      <c r="LRI22" s="515"/>
      <c r="LRJ22" s="515"/>
      <c r="LRK22" s="515"/>
      <c r="LRL22" s="515"/>
      <c r="LRM22" s="515"/>
      <c r="LRN22" s="515"/>
      <c r="LRO22" s="515"/>
      <c r="LRP22" s="515"/>
      <c r="LRQ22" s="515"/>
      <c r="LRR22" s="515"/>
      <c r="LRS22" s="515"/>
      <c r="LRT22" s="515"/>
      <c r="LRU22" s="515"/>
      <c r="LRV22" s="515"/>
      <c r="LRW22" s="515"/>
      <c r="LRX22" s="515"/>
      <c r="LRY22" s="515"/>
      <c r="LRZ22" s="515"/>
      <c r="LSA22" s="515"/>
      <c r="LSB22" s="515"/>
      <c r="LSC22" s="515"/>
      <c r="LSD22" s="515"/>
      <c r="LSE22" s="515"/>
      <c r="LSF22" s="515"/>
      <c r="LSG22" s="515"/>
      <c r="LSH22" s="515"/>
      <c r="LSI22" s="515"/>
      <c r="LSJ22" s="515"/>
      <c r="LSK22" s="515"/>
      <c r="LSL22" s="515"/>
      <c r="LSM22" s="515"/>
      <c r="LSN22" s="515"/>
      <c r="LSO22" s="515"/>
      <c r="LSP22" s="515"/>
      <c r="LSQ22" s="515"/>
      <c r="LSR22" s="515"/>
      <c r="LSS22" s="515"/>
      <c r="LST22" s="515"/>
      <c r="LSU22" s="515"/>
      <c r="LSV22" s="515"/>
      <c r="LSW22" s="515"/>
      <c r="LSX22" s="515"/>
      <c r="LSY22" s="515"/>
      <c r="LSZ22" s="515"/>
      <c r="LTA22" s="515"/>
      <c r="LTB22" s="515"/>
      <c r="LTC22" s="515"/>
      <c r="LTD22" s="515"/>
      <c r="LTE22" s="515"/>
      <c r="LTF22" s="515"/>
      <c r="LTG22" s="515"/>
      <c r="LTH22" s="515"/>
      <c r="LTI22" s="515"/>
      <c r="LTJ22" s="515"/>
      <c r="LTK22" s="515"/>
      <c r="LTL22" s="515"/>
      <c r="LTM22" s="515"/>
      <c r="LTN22" s="515"/>
      <c r="LTO22" s="515"/>
      <c r="LTP22" s="515"/>
      <c r="LTQ22" s="515"/>
      <c r="LTR22" s="515"/>
      <c r="LTS22" s="515"/>
      <c r="LTT22" s="515"/>
      <c r="LTU22" s="515"/>
      <c r="LTV22" s="515"/>
      <c r="LTW22" s="515"/>
      <c r="LTX22" s="515"/>
      <c r="LTY22" s="515"/>
      <c r="LTZ22" s="515"/>
      <c r="LUA22" s="515"/>
      <c r="LUB22" s="515"/>
      <c r="LUC22" s="515"/>
      <c r="LUD22" s="515"/>
      <c r="LUE22" s="515"/>
      <c r="LUF22" s="515"/>
      <c r="LUG22" s="515"/>
      <c r="LUH22" s="515"/>
      <c r="LUI22" s="515"/>
      <c r="LUJ22" s="515"/>
      <c r="LUK22" s="515"/>
      <c r="LUL22" s="515"/>
      <c r="LUM22" s="515"/>
      <c r="LUN22" s="515"/>
      <c r="LUO22" s="515"/>
      <c r="LUP22" s="515"/>
      <c r="LUQ22" s="515"/>
      <c r="LUR22" s="515"/>
      <c r="LUS22" s="515"/>
      <c r="LUT22" s="515"/>
      <c r="LUU22" s="515"/>
      <c r="LUV22" s="515"/>
      <c r="LUW22" s="515"/>
      <c r="LUX22" s="515"/>
      <c r="LUY22" s="515"/>
      <c r="LUZ22" s="515"/>
      <c r="LVA22" s="515"/>
      <c r="LVB22" s="515"/>
      <c r="LVC22" s="515"/>
      <c r="LVD22" s="515"/>
      <c r="LVE22" s="515"/>
      <c r="LVF22" s="515"/>
      <c r="LVG22" s="515"/>
      <c r="LVH22" s="515"/>
      <c r="LVI22" s="515"/>
      <c r="LVJ22" s="515"/>
      <c r="LVK22" s="515"/>
      <c r="LVL22" s="515"/>
      <c r="LVM22" s="515"/>
      <c r="LVN22" s="515"/>
      <c r="LVO22" s="515"/>
      <c r="LVP22" s="515"/>
      <c r="LVQ22" s="515"/>
      <c r="LVR22" s="515"/>
      <c r="LVS22" s="515"/>
      <c r="LVT22" s="515"/>
      <c r="LVU22" s="515"/>
      <c r="LVV22" s="515"/>
      <c r="LVW22" s="515"/>
      <c r="LVX22" s="515"/>
      <c r="LVY22" s="515"/>
      <c r="LVZ22" s="515"/>
      <c r="LWA22" s="515"/>
      <c r="LWB22" s="515"/>
      <c r="LWC22" s="515"/>
      <c r="LWD22" s="515"/>
      <c r="LWE22" s="515"/>
      <c r="LWF22" s="515"/>
      <c r="LWG22" s="515"/>
      <c r="LWH22" s="515"/>
      <c r="LWI22" s="515"/>
      <c r="LWJ22" s="515"/>
      <c r="LWK22" s="515"/>
      <c r="LWL22" s="515"/>
      <c r="LWM22" s="515"/>
      <c r="LWN22" s="515"/>
      <c r="LWO22" s="515"/>
      <c r="LWP22" s="515"/>
      <c r="LWQ22" s="515"/>
      <c r="LWR22" s="515"/>
      <c r="LWS22" s="515"/>
      <c r="LWT22" s="515"/>
      <c r="LWU22" s="515"/>
      <c r="LWV22" s="515"/>
      <c r="LWW22" s="515"/>
      <c r="LWX22" s="515"/>
      <c r="LWY22" s="515"/>
      <c r="LWZ22" s="515"/>
      <c r="LXA22" s="515"/>
      <c r="LXB22" s="515"/>
      <c r="LXC22" s="515"/>
      <c r="LXD22" s="515"/>
      <c r="LXE22" s="515"/>
      <c r="LXF22" s="515"/>
      <c r="LXG22" s="515"/>
      <c r="LXH22" s="515"/>
      <c r="LXI22" s="515"/>
      <c r="LXJ22" s="515"/>
      <c r="LXK22" s="515"/>
      <c r="LXL22" s="515"/>
      <c r="LXM22" s="515"/>
      <c r="LXN22" s="515"/>
      <c r="LXO22" s="515"/>
      <c r="LXP22" s="515"/>
      <c r="LXQ22" s="515"/>
      <c r="LXR22" s="515"/>
      <c r="LXS22" s="515"/>
      <c r="LXT22" s="515"/>
      <c r="LXU22" s="515"/>
      <c r="LXV22" s="515"/>
      <c r="LXW22" s="515"/>
      <c r="LXX22" s="515"/>
      <c r="LXY22" s="515"/>
      <c r="LXZ22" s="515"/>
      <c r="LYA22" s="515"/>
      <c r="LYB22" s="515"/>
      <c r="LYC22" s="515"/>
      <c r="LYD22" s="515"/>
      <c r="LYE22" s="515"/>
      <c r="LYF22" s="515"/>
      <c r="LYG22" s="515"/>
      <c r="LYH22" s="515"/>
      <c r="LYI22" s="515"/>
      <c r="LYJ22" s="515"/>
      <c r="LYK22" s="515"/>
      <c r="LYL22" s="515"/>
      <c r="LYM22" s="515"/>
      <c r="LYN22" s="515"/>
      <c r="LYO22" s="515"/>
      <c r="LYP22" s="515"/>
      <c r="LYQ22" s="515"/>
      <c r="LYR22" s="515"/>
      <c r="LYS22" s="515"/>
      <c r="LYT22" s="515"/>
      <c r="LYU22" s="515"/>
      <c r="LYV22" s="515"/>
      <c r="LYW22" s="515"/>
      <c r="LYX22" s="515"/>
      <c r="LYY22" s="515"/>
      <c r="LYZ22" s="515"/>
      <c r="LZA22" s="515"/>
      <c r="LZB22" s="515"/>
      <c r="LZC22" s="515"/>
      <c r="LZD22" s="515"/>
      <c r="LZE22" s="515"/>
      <c r="LZF22" s="515"/>
      <c r="LZG22" s="515"/>
      <c r="LZH22" s="515"/>
      <c r="LZI22" s="515"/>
      <c r="LZJ22" s="515"/>
      <c r="LZK22" s="515"/>
      <c r="LZL22" s="515"/>
      <c r="LZM22" s="515"/>
      <c r="LZN22" s="515"/>
      <c r="LZO22" s="515"/>
      <c r="LZP22" s="515"/>
      <c r="LZQ22" s="515"/>
      <c r="LZR22" s="515"/>
      <c r="LZS22" s="515"/>
      <c r="LZT22" s="515"/>
      <c r="LZU22" s="515"/>
      <c r="LZV22" s="515"/>
      <c r="LZW22" s="515"/>
      <c r="LZX22" s="515"/>
      <c r="LZY22" s="515"/>
      <c r="LZZ22" s="515"/>
      <c r="MAA22" s="515"/>
      <c r="MAB22" s="515"/>
      <c r="MAC22" s="515"/>
      <c r="MAD22" s="515"/>
      <c r="MAE22" s="515"/>
      <c r="MAF22" s="515"/>
      <c r="MAG22" s="515"/>
      <c r="MAH22" s="515"/>
      <c r="MAI22" s="515"/>
      <c r="MAJ22" s="515"/>
      <c r="MAK22" s="515"/>
      <c r="MAL22" s="515"/>
      <c r="MAM22" s="515"/>
      <c r="MAN22" s="515"/>
      <c r="MAO22" s="515"/>
      <c r="MAP22" s="515"/>
      <c r="MAQ22" s="515"/>
      <c r="MAR22" s="515"/>
      <c r="MAS22" s="515"/>
      <c r="MAT22" s="515"/>
      <c r="MAU22" s="515"/>
      <c r="MAV22" s="515"/>
      <c r="MAW22" s="515"/>
      <c r="MAX22" s="515"/>
      <c r="MAY22" s="515"/>
      <c r="MAZ22" s="515"/>
      <c r="MBA22" s="515"/>
      <c r="MBB22" s="515"/>
      <c r="MBC22" s="515"/>
      <c r="MBD22" s="515"/>
      <c r="MBE22" s="515"/>
      <c r="MBF22" s="515"/>
      <c r="MBG22" s="515"/>
      <c r="MBH22" s="515"/>
      <c r="MBI22" s="515"/>
      <c r="MBJ22" s="515"/>
      <c r="MBK22" s="515"/>
      <c r="MBL22" s="515"/>
      <c r="MBM22" s="515"/>
      <c r="MBN22" s="515"/>
      <c r="MBO22" s="515"/>
      <c r="MBP22" s="515"/>
      <c r="MBQ22" s="515"/>
      <c r="MBR22" s="515"/>
      <c r="MBS22" s="515"/>
      <c r="MBT22" s="515"/>
      <c r="MBU22" s="515"/>
      <c r="MBV22" s="515"/>
      <c r="MBW22" s="515"/>
      <c r="MBX22" s="515"/>
      <c r="MBY22" s="515"/>
      <c r="MBZ22" s="515"/>
      <c r="MCA22" s="515"/>
      <c r="MCB22" s="515"/>
      <c r="MCC22" s="515"/>
      <c r="MCD22" s="515"/>
      <c r="MCE22" s="515"/>
      <c r="MCF22" s="515"/>
      <c r="MCG22" s="515"/>
      <c r="MCH22" s="515"/>
      <c r="MCI22" s="515"/>
      <c r="MCJ22" s="515"/>
      <c r="MCK22" s="515"/>
      <c r="MCL22" s="515"/>
      <c r="MCM22" s="515"/>
      <c r="MCN22" s="515"/>
      <c r="MCO22" s="515"/>
      <c r="MCP22" s="515"/>
      <c r="MCQ22" s="515"/>
      <c r="MCR22" s="515"/>
      <c r="MCS22" s="515"/>
      <c r="MCT22" s="515"/>
      <c r="MCU22" s="515"/>
      <c r="MCV22" s="515"/>
      <c r="MCW22" s="515"/>
      <c r="MCX22" s="515"/>
      <c r="MCY22" s="515"/>
      <c r="MCZ22" s="515"/>
      <c r="MDA22" s="515"/>
      <c r="MDB22" s="515"/>
      <c r="MDC22" s="515"/>
      <c r="MDD22" s="515"/>
      <c r="MDE22" s="515"/>
      <c r="MDF22" s="515"/>
      <c r="MDG22" s="515"/>
      <c r="MDH22" s="515"/>
      <c r="MDI22" s="515"/>
      <c r="MDJ22" s="515"/>
      <c r="MDK22" s="515"/>
      <c r="MDL22" s="515"/>
      <c r="MDM22" s="515"/>
      <c r="MDN22" s="515"/>
      <c r="MDO22" s="515"/>
      <c r="MDP22" s="515"/>
      <c r="MDQ22" s="515"/>
      <c r="MDR22" s="515"/>
      <c r="MDS22" s="515"/>
      <c r="MDT22" s="515"/>
      <c r="MDU22" s="515"/>
      <c r="MDV22" s="515"/>
      <c r="MDW22" s="515"/>
      <c r="MDX22" s="515"/>
      <c r="MDY22" s="515"/>
      <c r="MDZ22" s="515"/>
      <c r="MEA22" s="515"/>
      <c r="MEB22" s="515"/>
      <c r="MEC22" s="515"/>
      <c r="MED22" s="515"/>
      <c r="MEE22" s="515"/>
      <c r="MEF22" s="515"/>
      <c r="MEG22" s="515"/>
      <c r="MEH22" s="515"/>
      <c r="MEI22" s="515"/>
      <c r="MEJ22" s="515"/>
      <c r="MEK22" s="515"/>
      <c r="MEL22" s="515"/>
      <c r="MEM22" s="515"/>
      <c r="MEN22" s="515"/>
      <c r="MEO22" s="515"/>
      <c r="MEP22" s="515"/>
      <c r="MEQ22" s="515"/>
      <c r="MER22" s="515"/>
      <c r="MES22" s="515"/>
      <c r="MET22" s="515"/>
      <c r="MEU22" s="515"/>
      <c r="MEV22" s="515"/>
      <c r="MEW22" s="515"/>
      <c r="MEX22" s="515"/>
      <c r="MEY22" s="515"/>
      <c r="MEZ22" s="515"/>
      <c r="MFA22" s="515"/>
      <c r="MFB22" s="515"/>
      <c r="MFC22" s="515"/>
      <c r="MFD22" s="515"/>
      <c r="MFE22" s="515"/>
      <c r="MFF22" s="515"/>
      <c r="MFG22" s="515"/>
      <c r="MFH22" s="515"/>
      <c r="MFI22" s="515"/>
      <c r="MFJ22" s="515"/>
      <c r="MFK22" s="515"/>
      <c r="MFL22" s="515"/>
      <c r="MFM22" s="515"/>
      <c r="MFN22" s="515"/>
      <c r="MFO22" s="515"/>
      <c r="MFP22" s="515"/>
      <c r="MFQ22" s="515"/>
      <c r="MFR22" s="515"/>
      <c r="MFS22" s="515"/>
      <c r="MFT22" s="515"/>
      <c r="MFU22" s="515"/>
      <c r="MFV22" s="515"/>
      <c r="MFW22" s="515"/>
      <c r="MFX22" s="515"/>
      <c r="MFY22" s="515"/>
      <c r="MFZ22" s="515"/>
      <c r="MGA22" s="515"/>
      <c r="MGB22" s="515"/>
      <c r="MGC22" s="515"/>
      <c r="MGD22" s="515"/>
      <c r="MGE22" s="515"/>
      <c r="MGF22" s="515"/>
      <c r="MGG22" s="515"/>
      <c r="MGH22" s="515"/>
      <c r="MGI22" s="515"/>
      <c r="MGJ22" s="515"/>
      <c r="MGK22" s="515"/>
      <c r="MGL22" s="515"/>
      <c r="MGM22" s="515"/>
      <c r="MGN22" s="515"/>
      <c r="MGO22" s="515"/>
      <c r="MGP22" s="515"/>
      <c r="MGQ22" s="515"/>
      <c r="MGR22" s="515"/>
      <c r="MGS22" s="515"/>
      <c r="MGT22" s="515"/>
      <c r="MGU22" s="515"/>
      <c r="MGV22" s="515"/>
      <c r="MGW22" s="515"/>
      <c r="MGX22" s="515"/>
      <c r="MGY22" s="515"/>
      <c r="MGZ22" s="515"/>
      <c r="MHA22" s="515"/>
      <c r="MHB22" s="515"/>
      <c r="MHC22" s="515"/>
      <c r="MHD22" s="515"/>
      <c r="MHE22" s="515"/>
      <c r="MHF22" s="515"/>
      <c r="MHG22" s="515"/>
      <c r="MHH22" s="515"/>
      <c r="MHI22" s="515"/>
      <c r="MHJ22" s="515"/>
      <c r="MHK22" s="515"/>
      <c r="MHL22" s="515"/>
      <c r="MHM22" s="515"/>
      <c r="MHN22" s="515"/>
      <c r="MHO22" s="515"/>
      <c r="MHP22" s="515"/>
      <c r="MHQ22" s="515"/>
      <c r="MHR22" s="515"/>
      <c r="MHS22" s="515"/>
      <c r="MHT22" s="515"/>
      <c r="MHU22" s="515"/>
      <c r="MHV22" s="515"/>
      <c r="MHW22" s="515"/>
      <c r="MHX22" s="515"/>
      <c r="MHY22" s="515"/>
      <c r="MHZ22" s="515"/>
      <c r="MIA22" s="515"/>
      <c r="MIB22" s="515"/>
      <c r="MIC22" s="515"/>
      <c r="MID22" s="515"/>
      <c r="MIE22" s="515"/>
      <c r="MIF22" s="515"/>
      <c r="MIG22" s="515"/>
      <c r="MIH22" s="515"/>
      <c r="MII22" s="515"/>
      <c r="MIJ22" s="515"/>
      <c r="MIK22" s="515"/>
      <c r="MIL22" s="515"/>
      <c r="MIM22" s="515"/>
      <c r="MIN22" s="515"/>
      <c r="MIO22" s="515"/>
      <c r="MIP22" s="515"/>
      <c r="MIQ22" s="515"/>
      <c r="MIR22" s="515"/>
      <c r="MIS22" s="515"/>
      <c r="MIT22" s="515"/>
      <c r="MIU22" s="515"/>
      <c r="MIV22" s="515"/>
      <c r="MIW22" s="515"/>
      <c r="MIX22" s="515"/>
      <c r="MIY22" s="515"/>
      <c r="MIZ22" s="515"/>
      <c r="MJA22" s="515"/>
      <c r="MJB22" s="515"/>
      <c r="MJC22" s="515"/>
      <c r="MJD22" s="515"/>
      <c r="MJE22" s="515"/>
      <c r="MJF22" s="515"/>
      <c r="MJG22" s="515"/>
      <c r="MJH22" s="515"/>
      <c r="MJI22" s="515"/>
      <c r="MJJ22" s="515"/>
      <c r="MJK22" s="515"/>
      <c r="MJL22" s="515"/>
      <c r="MJM22" s="515"/>
      <c r="MJN22" s="515"/>
      <c r="MJO22" s="515"/>
      <c r="MJP22" s="515"/>
      <c r="MJQ22" s="515"/>
      <c r="MJR22" s="515"/>
      <c r="MJS22" s="515"/>
      <c r="MJT22" s="515"/>
      <c r="MJU22" s="515"/>
      <c r="MJV22" s="515"/>
      <c r="MJW22" s="515"/>
      <c r="MJX22" s="515"/>
      <c r="MJY22" s="515"/>
      <c r="MJZ22" s="515"/>
      <c r="MKA22" s="515"/>
      <c r="MKB22" s="515"/>
      <c r="MKC22" s="515"/>
      <c r="MKD22" s="515"/>
      <c r="MKE22" s="515"/>
      <c r="MKF22" s="515"/>
      <c r="MKG22" s="515"/>
      <c r="MKH22" s="515"/>
      <c r="MKI22" s="515"/>
      <c r="MKJ22" s="515"/>
      <c r="MKK22" s="515"/>
      <c r="MKL22" s="515"/>
      <c r="MKM22" s="515"/>
      <c r="MKN22" s="515"/>
      <c r="MKO22" s="515"/>
      <c r="MKP22" s="515"/>
      <c r="MKQ22" s="515"/>
      <c r="MKR22" s="515"/>
      <c r="MKS22" s="515"/>
      <c r="MKT22" s="515"/>
      <c r="MKU22" s="515"/>
      <c r="MKV22" s="515"/>
      <c r="MKW22" s="515"/>
      <c r="MKX22" s="515"/>
      <c r="MKY22" s="515"/>
      <c r="MKZ22" s="515"/>
      <c r="MLA22" s="515"/>
      <c r="MLB22" s="515"/>
      <c r="MLC22" s="515"/>
      <c r="MLD22" s="515"/>
      <c r="MLE22" s="515"/>
      <c r="MLF22" s="515"/>
      <c r="MLG22" s="515"/>
      <c r="MLH22" s="515"/>
      <c r="MLI22" s="515"/>
      <c r="MLJ22" s="515"/>
      <c r="MLK22" s="515"/>
      <c r="MLL22" s="515"/>
      <c r="MLM22" s="515"/>
      <c r="MLN22" s="515"/>
      <c r="MLO22" s="515"/>
      <c r="MLP22" s="515"/>
      <c r="MLQ22" s="515"/>
      <c r="MLR22" s="515"/>
      <c r="MLS22" s="515"/>
      <c r="MLT22" s="515"/>
      <c r="MLU22" s="515"/>
      <c r="MLV22" s="515"/>
      <c r="MLW22" s="515"/>
      <c r="MLX22" s="515"/>
      <c r="MLY22" s="515"/>
      <c r="MLZ22" s="515"/>
      <c r="MMA22" s="515"/>
      <c r="MMB22" s="515"/>
      <c r="MMC22" s="515"/>
      <c r="MMD22" s="515"/>
      <c r="MME22" s="515"/>
      <c r="MMF22" s="515"/>
      <c r="MMG22" s="515"/>
      <c r="MMH22" s="515"/>
      <c r="MMI22" s="515"/>
      <c r="MMJ22" s="515"/>
      <c r="MMK22" s="515"/>
      <c r="MML22" s="515"/>
      <c r="MMM22" s="515"/>
      <c r="MMN22" s="515"/>
      <c r="MMO22" s="515"/>
      <c r="MMP22" s="515"/>
      <c r="MMQ22" s="515"/>
      <c r="MMR22" s="515"/>
      <c r="MMS22" s="515"/>
      <c r="MMT22" s="515"/>
      <c r="MMU22" s="515"/>
      <c r="MMV22" s="515"/>
      <c r="MMW22" s="515"/>
      <c r="MMX22" s="515"/>
      <c r="MMY22" s="515"/>
      <c r="MMZ22" s="515"/>
      <c r="MNA22" s="515"/>
      <c r="MNB22" s="515"/>
      <c r="MNC22" s="515"/>
      <c r="MND22" s="515"/>
      <c r="MNE22" s="515"/>
      <c r="MNF22" s="515"/>
      <c r="MNG22" s="515"/>
      <c r="MNH22" s="515"/>
      <c r="MNI22" s="515"/>
      <c r="MNJ22" s="515"/>
      <c r="MNK22" s="515"/>
      <c r="MNL22" s="515"/>
      <c r="MNM22" s="515"/>
      <c r="MNN22" s="515"/>
      <c r="MNO22" s="515"/>
      <c r="MNP22" s="515"/>
      <c r="MNQ22" s="515"/>
      <c r="MNR22" s="515"/>
      <c r="MNS22" s="515"/>
      <c r="MNT22" s="515"/>
      <c r="MNU22" s="515"/>
      <c r="MNV22" s="515"/>
      <c r="MNW22" s="515"/>
      <c r="MNX22" s="515"/>
      <c r="MNY22" s="515"/>
      <c r="MNZ22" s="515"/>
      <c r="MOA22" s="515"/>
      <c r="MOB22" s="515"/>
      <c r="MOC22" s="515"/>
      <c r="MOD22" s="515"/>
      <c r="MOE22" s="515"/>
      <c r="MOF22" s="515"/>
      <c r="MOG22" s="515"/>
      <c r="MOH22" s="515"/>
      <c r="MOI22" s="515"/>
      <c r="MOJ22" s="515"/>
      <c r="MOK22" s="515"/>
      <c r="MOL22" s="515"/>
      <c r="MOM22" s="515"/>
      <c r="MON22" s="515"/>
      <c r="MOO22" s="515"/>
      <c r="MOP22" s="515"/>
      <c r="MOQ22" s="515"/>
      <c r="MOR22" s="515"/>
      <c r="MOS22" s="515"/>
      <c r="MOT22" s="515"/>
      <c r="MOU22" s="515"/>
      <c r="MOV22" s="515"/>
      <c r="MOW22" s="515"/>
      <c r="MOX22" s="515"/>
      <c r="MOY22" s="515"/>
      <c r="MOZ22" s="515"/>
      <c r="MPA22" s="515"/>
      <c r="MPB22" s="515"/>
      <c r="MPC22" s="515"/>
      <c r="MPD22" s="515"/>
      <c r="MPE22" s="515"/>
      <c r="MPF22" s="515"/>
      <c r="MPG22" s="515"/>
      <c r="MPH22" s="515"/>
      <c r="MPI22" s="515"/>
      <c r="MPJ22" s="515"/>
      <c r="MPK22" s="515"/>
      <c r="MPL22" s="515"/>
      <c r="MPM22" s="515"/>
      <c r="MPN22" s="515"/>
      <c r="MPO22" s="515"/>
      <c r="MPP22" s="515"/>
      <c r="MPQ22" s="515"/>
      <c r="MPR22" s="515"/>
      <c r="MPS22" s="515"/>
      <c r="MPT22" s="515"/>
      <c r="MPU22" s="515"/>
      <c r="MPV22" s="515"/>
      <c r="MPW22" s="515"/>
      <c r="MPX22" s="515"/>
      <c r="MPY22" s="515"/>
      <c r="MPZ22" s="515"/>
      <c r="MQA22" s="515"/>
      <c r="MQB22" s="515"/>
      <c r="MQC22" s="515"/>
      <c r="MQD22" s="515"/>
      <c r="MQE22" s="515"/>
      <c r="MQF22" s="515"/>
      <c r="MQG22" s="515"/>
      <c r="MQH22" s="515"/>
      <c r="MQI22" s="515"/>
      <c r="MQJ22" s="515"/>
      <c r="MQK22" s="515"/>
      <c r="MQL22" s="515"/>
      <c r="MQM22" s="515"/>
      <c r="MQN22" s="515"/>
      <c r="MQO22" s="515"/>
      <c r="MQP22" s="515"/>
      <c r="MQQ22" s="515"/>
      <c r="MQR22" s="515"/>
      <c r="MQS22" s="515"/>
      <c r="MQT22" s="515"/>
      <c r="MQU22" s="515"/>
      <c r="MQV22" s="515"/>
      <c r="MQW22" s="515"/>
      <c r="MQX22" s="515"/>
      <c r="MQY22" s="515"/>
      <c r="MQZ22" s="515"/>
      <c r="MRA22" s="515"/>
      <c r="MRB22" s="515"/>
      <c r="MRC22" s="515"/>
      <c r="MRD22" s="515"/>
      <c r="MRE22" s="515"/>
      <c r="MRF22" s="515"/>
      <c r="MRG22" s="515"/>
      <c r="MRH22" s="515"/>
      <c r="MRI22" s="515"/>
      <c r="MRJ22" s="515"/>
      <c r="MRK22" s="515"/>
      <c r="MRL22" s="515"/>
      <c r="MRM22" s="515"/>
      <c r="MRN22" s="515"/>
      <c r="MRO22" s="515"/>
      <c r="MRP22" s="515"/>
      <c r="MRQ22" s="515"/>
      <c r="MRR22" s="515"/>
      <c r="MRS22" s="515"/>
      <c r="MRT22" s="515"/>
      <c r="MRU22" s="515"/>
      <c r="MRV22" s="515"/>
      <c r="MRW22" s="515"/>
      <c r="MRX22" s="515"/>
      <c r="MRY22" s="515"/>
      <c r="MRZ22" s="515"/>
      <c r="MSA22" s="515"/>
      <c r="MSB22" s="515"/>
      <c r="MSC22" s="515"/>
      <c r="MSD22" s="515"/>
      <c r="MSE22" s="515"/>
      <c r="MSF22" s="515"/>
      <c r="MSG22" s="515"/>
      <c r="MSH22" s="515"/>
      <c r="MSI22" s="515"/>
      <c r="MSJ22" s="515"/>
      <c r="MSK22" s="515"/>
      <c r="MSL22" s="515"/>
      <c r="MSM22" s="515"/>
      <c r="MSN22" s="515"/>
      <c r="MSO22" s="515"/>
      <c r="MSP22" s="515"/>
      <c r="MSQ22" s="515"/>
      <c r="MSR22" s="515"/>
      <c r="MSS22" s="515"/>
      <c r="MST22" s="515"/>
      <c r="MSU22" s="515"/>
      <c r="MSV22" s="515"/>
      <c r="MSW22" s="515"/>
      <c r="MSX22" s="515"/>
      <c r="MSY22" s="515"/>
      <c r="MSZ22" s="515"/>
      <c r="MTA22" s="515"/>
      <c r="MTB22" s="515"/>
      <c r="MTC22" s="515"/>
      <c r="MTD22" s="515"/>
      <c r="MTE22" s="515"/>
      <c r="MTF22" s="515"/>
      <c r="MTG22" s="515"/>
      <c r="MTH22" s="515"/>
      <c r="MTI22" s="515"/>
      <c r="MTJ22" s="515"/>
      <c r="MTK22" s="515"/>
      <c r="MTL22" s="515"/>
      <c r="MTM22" s="515"/>
      <c r="MTN22" s="515"/>
      <c r="MTO22" s="515"/>
      <c r="MTP22" s="515"/>
      <c r="MTQ22" s="515"/>
      <c r="MTR22" s="515"/>
      <c r="MTS22" s="515"/>
      <c r="MTT22" s="515"/>
      <c r="MTU22" s="515"/>
      <c r="MTV22" s="515"/>
      <c r="MTW22" s="515"/>
      <c r="MTX22" s="515"/>
      <c r="MTY22" s="515"/>
      <c r="MTZ22" s="515"/>
      <c r="MUA22" s="515"/>
      <c r="MUB22" s="515"/>
      <c r="MUC22" s="515"/>
      <c r="MUD22" s="515"/>
      <c r="MUE22" s="515"/>
      <c r="MUF22" s="515"/>
      <c r="MUG22" s="515"/>
      <c r="MUH22" s="515"/>
      <c r="MUI22" s="515"/>
      <c r="MUJ22" s="515"/>
      <c r="MUK22" s="515"/>
      <c r="MUL22" s="515"/>
      <c r="MUM22" s="515"/>
      <c r="MUN22" s="515"/>
      <c r="MUO22" s="515"/>
      <c r="MUP22" s="515"/>
      <c r="MUQ22" s="515"/>
      <c r="MUR22" s="515"/>
      <c r="MUS22" s="515"/>
      <c r="MUT22" s="515"/>
      <c r="MUU22" s="515"/>
      <c r="MUV22" s="515"/>
      <c r="MUW22" s="515"/>
      <c r="MUX22" s="515"/>
      <c r="MUY22" s="515"/>
      <c r="MUZ22" s="515"/>
      <c r="MVA22" s="515"/>
      <c r="MVB22" s="515"/>
      <c r="MVC22" s="515"/>
      <c r="MVD22" s="515"/>
      <c r="MVE22" s="515"/>
      <c r="MVF22" s="515"/>
      <c r="MVG22" s="515"/>
      <c r="MVH22" s="515"/>
      <c r="MVI22" s="515"/>
      <c r="MVJ22" s="515"/>
      <c r="MVK22" s="515"/>
      <c r="MVL22" s="515"/>
      <c r="MVM22" s="515"/>
      <c r="MVN22" s="515"/>
      <c r="MVO22" s="515"/>
      <c r="MVP22" s="515"/>
      <c r="MVQ22" s="515"/>
      <c r="MVR22" s="515"/>
      <c r="MVS22" s="515"/>
      <c r="MVT22" s="515"/>
      <c r="MVU22" s="515"/>
      <c r="MVV22" s="515"/>
      <c r="MVW22" s="515"/>
      <c r="MVX22" s="515"/>
      <c r="MVY22" s="515"/>
      <c r="MVZ22" s="515"/>
      <c r="MWA22" s="515"/>
      <c r="MWB22" s="515"/>
      <c r="MWC22" s="515"/>
      <c r="MWD22" s="515"/>
      <c r="MWE22" s="515"/>
      <c r="MWF22" s="515"/>
      <c r="MWG22" s="515"/>
      <c r="MWH22" s="515"/>
      <c r="MWI22" s="515"/>
      <c r="MWJ22" s="515"/>
      <c r="MWK22" s="515"/>
      <c r="MWL22" s="515"/>
      <c r="MWM22" s="515"/>
      <c r="MWN22" s="515"/>
      <c r="MWO22" s="515"/>
      <c r="MWP22" s="515"/>
      <c r="MWQ22" s="515"/>
      <c r="MWR22" s="515"/>
      <c r="MWS22" s="515"/>
      <c r="MWT22" s="515"/>
      <c r="MWU22" s="515"/>
      <c r="MWV22" s="515"/>
      <c r="MWW22" s="515"/>
      <c r="MWX22" s="515"/>
      <c r="MWY22" s="515"/>
      <c r="MWZ22" s="515"/>
      <c r="MXA22" s="515"/>
      <c r="MXB22" s="515"/>
      <c r="MXC22" s="515"/>
      <c r="MXD22" s="515"/>
      <c r="MXE22" s="515"/>
      <c r="MXF22" s="515"/>
      <c r="MXG22" s="515"/>
      <c r="MXH22" s="515"/>
      <c r="MXI22" s="515"/>
      <c r="MXJ22" s="515"/>
      <c r="MXK22" s="515"/>
      <c r="MXL22" s="515"/>
      <c r="MXM22" s="515"/>
      <c r="MXN22" s="515"/>
      <c r="MXO22" s="515"/>
      <c r="MXP22" s="515"/>
      <c r="MXQ22" s="515"/>
      <c r="MXR22" s="515"/>
      <c r="MXS22" s="515"/>
      <c r="MXT22" s="515"/>
      <c r="MXU22" s="515"/>
      <c r="MXV22" s="515"/>
      <c r="MXW22" s="515"/>
      <c r="MXX22" s="515"/>
      <c r="MXY22" s="515"/>
      <c r="MXZ22" s="515"/>
      <c r="MYA22" s="515"/>
      <c r="MYB22" s="515"/>
      <c r="MYC22" s="515"/>
      <c r="MYD22" s="515"/>
      <c r="MYE22" s="515"/>
      <c r="MYF22" s="515"/>
      <c r="MYG22" s="515"/>
      <c r="MYH22" s="515"/>
      <c r="MYI22" s="515"/>
      <c r="MYJ22" s="515"/>
      <c r="MYK22" s="515"/>
      <c r="MYL22" s="515"/>
      <c r="MYM22" s="515"/>
      <c r="MYN22" s="515"/>
      <c r="MYO22" s="515"/>
      <c r="MYP22" s="515"/>
      <c r="MYQ22" s="515"/>
      <c r="MYR22" s="515"/>
      <c r="MYS22" s="515"/>
      <c r="MYT22" s="515"/>
      <c r="MYU22" s="515"/>
      <c r="MYV22" s="515"/>
      <c r="MYW22" s="515"/>
      <c r="MYX22" s="515"/>
      <c r="MYY22" s="515"/>
      <c r="MYZ22" s="515"/>
      <c r="MZA22" s="515"/>
      <c r="MZB22" s="515"/>
      <c r="MZC22" s="515"/>
      <c r="MZD22" s="515"/>
      <c r="MZE22" s="515"/>
      <c r="MZF22" s="515"/>
      <c r="MZG22" s="515"/>
      <c r="MZH22" s="515"/>
      <c r="MZI22" s="515"/>
      <c r="MZJ22" s="515"/>
      <c r="MZK22" s="515"/>
      <c r="MZL22" s="515"/>
      <c r="MZM22" s="515"/>
      <c r="MZN22" s="515"/>
      <c r="MZO22" s="515"/>
      <c r="MZP22" s="515"/>
      <c r="MZQ22" s="515"/>
      <c r="MZR22" s="515"/>
      <c r="MZS22" s="515"/>
      <c r="MZT22" s="515"/>
      <c r="MZU22" s="515"/>
      <c r="MZV22" s="515"/>
      <c r="MZW22" s="515"/>
      <c r="MZX22" s="515"/>
      <c r="MZY22" s="515"/>
      <c r="MZZ22" s="515"/>
      <c r="NAA22" s="515"/>
      <c r="NAB22" s="515"/>
      <c r="NAC22" s="515"/>
      <c r="NAD22" s="515"/>
      <c r="NAE22" s="515"/>
      <c r="NAF22" s="515"/>
      <c r="NAG22" s="515"/>
      <c r="NAH22" s="515"/>
      <c r="NAI22" s="515"/>
      <c r="NAJ22" s="515"/>
      <c r="NAK22" s="515"/>
      <c r="NAL22" s="515"/>
      <c r="NAM22" s="515"/>
      <c r="NAN22" s="515"/>
      <c r="NAO22" s="515"/>
      <c r="NAP22" s="515"/>
      <c r="NAQ22" s="515"/>
      <c r="NAR22" s="515"/>
      <c r="NAS22" s="515"/>
      <c r="NAT22" s="515"/>
      <c r="NAU22" s="515"/>
      <c r="NAV22" s="515"/>
      <c r="NAW22" s="515"/>
      <c r="NAX22" s="515"/>
      <c r="NAY22" s="515"/>
      <c r="NAZ22" s="515"/>
      <c r="NBA22" s="515"/>
      <c r="NBB22" s="515"/>
      <c r="NBC22" s="515"/>
      <c r="NBD22" s="515"/>
      <c r="NBE22" s="515"/>
      <c r="NBF22" s="515"/>
      <c r="NBG22" s="515"/>
      <c r="NBH22" s="515"/>
      <c r="NBI22" s="515"/>
      <c r="NBJ22" s="515"/>
      <c r="NBK22" s="515"/>
      <c r="NBL22" s="515"/>
      <c r="NBM22" s="515"/>
      <c r="NBN22" s="515"/>
      <c r="NBO22" s="515"/>
      <c r="NBP22" s="515"/>
      <c r="NBQ22" s="515"/>
      <c r="NBR22" s="515"/>
      <c r="NBS22" s="515"/>
      <c r="NBT22" s="515"/>
      <c r="NBU22" s="515"/>
      <c r="NBV22" s="515"/>
      <c r="NBW22" s="515"/>
      <c r="NBX22" s="515"/>
      <c r="NBY22" s="515"/>
      <c r="NBZ22" s="515"/>
      <c r="NCA22" s="515"/>
      <c r="NCB22" s="515"/>
      <c r="NCC22" s="515"/>
      <c r="NCD22" s="515"/>
      <c r="NCE22" s="515"/>
      <c r="NCF22" s="515"/>
      <c r="NCG22" s="515"/>
      <c r="NCH22" s="515"/>
      <c r="NCI22" s="515"/>
      <c r="NCJ22" s="515"/>
      <c r="NCK22" s="515"/>
      <c r="NCL22" s="515"/>
      <c r="NCM22" s="515"/>
      <c r="NCN22" s="515"/>
      <c r="NCO22" s="515"/>
      <c r="NCP22" s="515"/>
      <c r="NCQ22" s="515"/>
      <c r="NCR22" s="515"/>
      <c r="NCS22" s="515"/>
      <c r="NCT22" s="515"/>
      <c r="NCU22" s="515"/>
      <c r="NCV22" s="515"/>
      <c r="NCW22" s="515"/>
      <c r="NCX22" s="515"/>
      <c r="NCY22" s="515"/>
      <c r="NCZ22" s="515"/>
      <c r="NDA22" s="515"/>
      <c r="NDB22" s="515"/>
      <c r="NDC22" s="515"/>
      <c r="NDD22" s="515"/>
      <c r="NDE22" s="515"/>
      <c r="NDF22" s="515"/>
      <c r="NDG22" s="515"/>
      <c r="NDH22" s="515"/>
      <c r="NDI22" s="515"/>
      <c r="NDJ22" s="515"/>
      <c r="NDK22" s="515"/>
      <c r="NDL22" s="515"/>
      <c r="NDM22" s="515"/>
      <c r="NDN22" s="515"/>
      <c r="NDO22" s="515"/>
      <c r="NDP22" s="515"/>
      <c r="NDQ22" s="515"/>
      <c r="NDR22" s="515"/>
      <c r="NDS22" s="515"/>
      <c r="NDT22" s="515"/>
      <c r="NDU22" s="515"/>
      <c r="NDV22" s="515"/>
      <c r="NDW22" s="515"/>
      <c r="NDX22" s="515"/>
      <c r="NDY22" s="515"/>
      <c r="NDZ22" s="515"/>
      <c r="NEA22" s="515"/>
      <c r="NEB22" s="515"/>
      <c r="NEC22" s="515"/>
      <c r="NED22" s="515"/>
      <c r="NEE22" s="515"/>
      <c r="NEF22" s="515"/>
      <c r="NEG22" s="515"/>
      <c r="NEH22" s="515"/>
      <c r="NEI22" s="515"/>
      <c r="NEJ22" s="515"/>
      <c r="NEK22" s="515"/>
      <c r="NEL22" s="515"/>
      <c r="NEM22" s="515"/>
      <c r="NEN22" s="515"/>
      <c r="NEO22" s="515"/>
      <c r="NEP22" s="515"/>
      <c r="NEQ22" s="515"/>
      <c r="NER22" s="515"/>
      <c r="NES22" s="515"/>
      <c r="NET22" s="515"/>
      <c r="NEU22" s="515"/>
      <c r="NEV22" s="515"/>
      <c r="NEW22" s="515"/>
      <c r="NEX22" s="515"/>
      <c r="NEY22" s="515"/>
      <c r="NEZ22" s="515"/>
      <c r="NFA22" s="515"/>
      <c r="NFB22" s="515"/>
      <c r="NFC22" s="515"/>
      <c r="NFD22" s="515"/>
      <c r="NFE22" s="515"/>
      <c r="NFF22" s="515"/>
      <c r="NFG22" s="515"/>
      <c r="NFH22" s="515"/>
      <c r="NFI22" s="515"/>
      <c r="NFJ22" s="515"/>
      <c r="NFK22" s="515"/>
      <c r="NFL22" s="515"/>
      <c r="NFM22" s="515"/>
      <c r="NFN22" s="515"/>
      <c r="NFO22" s="515"/>
      <c r="NFP22" s="515"/>
      <c r="NFQ22" s="515"/>
      <c r="NFR22" s="515"/>
      <c r="NFS22" s="515"/>
      <c r="NFT22" s="515"/>
      <c r="NFU22" s="515"/>
      <c r="NFV22" s="515"/>
      <c r="NFW22" s="515"/>
      <c r="NFX22" s="515"/>
      <c r="NFY22" s="515"/>
      <c r="NFZ22" s="515"/>
      <c r="NGA22" s="515"/>
      <c r="NGB22" s="515"/>
      <c r="NGC22" s="515"/>
      <c r="NGD22" s="515"/>
      <c r="NGE22" s="515"/>
      <c r="NGF22" s="515"/>
      <c r="NGG22" s="515"/>
      <c r="NGH22" s="515"/>
      <c r="NGI22" s="515"/>
      <c r="NGJ22" s="515"/>
      <c r="NGK22" s="515"/>
      <c r="NGL22" s="515"/>
      <c r="NGM22" s="515"/>
      <c r="NGN22" s="515"/>
      <c r="NGO22" s="515"/>
      <c r="NGP22" s="515"/>
      <c r="NGQ22" s="515"/>
      <c r="NGR22" s="515"/>
      <c r="NGS22" s="515"/>
      <c r="NGT22" s="515"/>
      <c r="NGU22" s="515"/>
      <c r="NGV22" s="515"/>
      <c r="NGW22" s="515"/>
      <c r="NGX22" s="515"/>
      <c r="NGY22" s="515"/>
      <c r="NGZ22" s="515"/>
      <c r="NHA22" s="515"/>
      <c r="NHB22" s="515"/>
      <c r="NHC22" s="515"/>
      <c r="NHD22" s="515"/>
      <c r="NHE22" s="515"/>
      <c r="NHF22" s="515"/>
      <c r="NHG22" s="515"/>
      <c r="NHH22" s="515"/>
      <c r="NHI22" s="515"/>
      <c r="NHJ22" s="515"/>
      <c r="NHK22" s="515"/>
      <c r="NHL22" s="515"/>
      <c r="NHM22" s="515"/>
      <c r="NHN22" s="515"/>
      <c r="NHO22" s="515"/>
      <c r="NHP22" s="515"/>
      <c r="NHQ22" s="515"/>
      <c r="NHR22" s="515"/>
      <c r="NHS22" s="515"/>
      <c r="NHT22" s="515"/>
      <c r="NHU22" s="515"/>
      <c r="NHV22" s="515"/>
      <c r="NHW22" s="515"/>
      <c r="NHX22" s="515"/>
      <c r="NHY22" s="515"/>
      <c r="NHZ22" s="515"/>
      <c r="NIA22" s="515"/>
      <c r="NIB22" s="515"/>
      <c r="NIC22" s="515"/>
      <c r="NID22" s="515"/>
      <c r="NIE22" s="515"/>
      <c r="NIF22" s="515"/>
      <c r="NIG22" s="515"/>
      <c r="NIH22" s="515"/>
      <c r="NII22" s="515"/>
      <c r="NIJ22" s="515"/>
      <c r="NIK22" s="515"/>
      <c r="NIL22" s="515"/>
      <c r="NIM22" s="515"/>
      <c r="NIN22" s="515"/>
      <c r="NIO22" s="515"/>
      <c r="NIP22" s="515"/>
      <c r="NIQ22" s="515"/>
      <c r="NIR22" s="515"/>
      <c r="NIS22" s="515"/>
      <c r="NIT22" s="515"/>
      <c r="NIU22" s="515"/>
      <c r="NIV22" s="515"/>
      <c r="NIW22" s="515"/>
      <c r="NIX22" s="515"/>
      <c r="NIY22" s="515"/>
      <c r="NIZ22" s="515"/>
      <c r="NJA22" s="515"/>
      <c r="NJB22" s="515"/>
      <c r="NJC22" s="515"/>
      <c r="NJD22" s="515"/>
      <c r="NJE22" s="515"/>
      <c r="NJF22" s="515"/>
      <c r="NJG22" s="515"/>
      <c r="NJH22" s="515"/>
      <c r="NJI22" s="515"/>
      <c r="NJJ22" s="515"/>
      <c r="NJK22" s="515"/>
      <c r="NJL22" s="515"/>
      <c r="NJM22" s="515"/>
      <c r="NJN22" s="515"/>
      <c r="NJO22" s="515"/>
      <c r="NJP22" s="515"/>
      <c r="NJQ22" s="515"/>
      <c r="NJR22" s="515"/>
      <c r="NJS22" s="515"/>
      <c r="NJT22" s="515"/>
      <c r="NJU22" s="515"/>
      <c r="NJV22" s="515"/>
      <c r="NJW22" s="515"/>
      <c r="NJX22" s="515"/>
      <c r="NJY22" s="515"/>
      <c r="NJZ22" s="515"/>
      <c r="NKA22" s="515"/>
      <c r="NKB22" s="515"/>
      <c r="NKC22" s="515"/>
      <c r="NKD22" s="515"/>
      <c r="NKE22" s="515"/>
      <c r="NKF22" s="515"/>
      <c r="NKG22" s="515"/>
      <c r="NKH22" s="515"/>
      <c r="NKI22" s="515"/>
      <c r="NKJ22" s="515"/>
      <c r="NKK22" s="515"/>
      <c r="NKL22" s="515"/>
      <c r="NKM22" s="515"/>
      <c r="NKN22" s="515"/>
      <c r="NKO22" s="515"/>
      <c r="NKP22" s="515"/>
      <c r="NKQ22" s="515"/>
      <c r="NKR22" s="515"/>
      <c r="NKS22" s="515"/>
      <c r="NKT22" s="515"/>
      <c r="NKU22" s="515"/>
      <c r="NKV22" s="515"/>
      <c r="NKW22" s="515"/>
      <c r="NKX22" s="515"/>
      <c r="NKY22" s="515"/>
      <c r="NKZ22" s="515"/>
      <c r="NLA22" s="515"/>
      <c r="NLB22" s="515"/>
      <c r="NLC22" s="515"/>
      <c r="NLD22" s="515"/>
      <c r="NLE22" s="515"/>
      <c r="NLF22" s="515"/>
      <c r="NLG22" s="515"/>
      <c r="NLH22" s="515"/>
      <c r="NLI22" s="515"/>
      <c r="NLJ22" s="515"/>
      <c r="NLK22" s="515"/>
      <c r="NLL22" s="515"/>
      <c r="NLM22" s="515"/>
      <c r="NLN22" s="515"/>
      <c r="NLO22" s="515"/>
      <c r="NLP22" s="515"/>
      <c r="NLQ22" s="515"/>
      <c r="NLR22" s="515"/>
      <c r="NLS22" s="515"/>
      <c r="NLT22" s="515"/>
      <c r="NLU22" s="515"/>
      <c r="NLV22" s="515"/>
      <c r="NLW22" s="515"/>
      <c r="NLX22" s="515"/>
      <c r="NLY22" s="515"/>
      <c r="NLZ22" s="515"/>
      <c r="NMA22" s="515"/>
      <c r="NMB22" s="515"/>
      <c r="NMC22" s="515"/>
      <c r="NMD22" s="515"/>
      <c r="NME22" s="515"/>
      <c r="NMF22" s="515"/>
      <c r="NMG22" s="515"/>
      <c r="NMH22" s="515"/>
      <c r="NMI22" s="515"/>
      <c r="NMJ22" s="515"/>
      <c r="NMK22" s="515"/>
      <c r="NML22" s="515"/>
      <c r="NMM22" s="515"/>
      <c r="NMN22" s="515"/>
      <c r="NMO22" s="515"/>
      <c r="NMP22" s="515"/>
      <c r="NMQ22" s="515"/>
      <c r="NMR22" s="515"/>
      <c r="NMS22" s="515"/>
      <c r="NMT22" s="515"/>
      <c r="NMU22" s="515"/>
      <c r="NMV22" s="515"/>
      <c r="NMW22" s="515"/>
      <c r="NMX22" s="515"/>
      <c r="NMY22" s="515"/>
      <c r="NMZ22" s="515"/>
      <c r="NNA22" s="515"/>
      <c r="NNB22" s="515"/>
      <c r="NNC22" s="515"/>
      <c r="NND22" s="515"/>
      <c r="NNE22" s="515"/>
      <c r="NNF22" s="515"/>
      <c r="NNG22" s="515"/>
      <c r="NNH22" s="515"/>
      <c r="NNI22" s="515"/>
      <c r="NNJ22" s="515"/>
      <c r="NNK22" s="515"/>
      <c r="NNL22" s="515"/>
      <c r="NNM22" s="515"/>
      <c r="NNN22" s="515"/>
      <c r="NNO22" s="515"/>
      <c r="NNP22" s="515"/>
      <c r="NNQ22" s="515"/>
      <c r="NNR22" s="515"/>
      <c r="NNS22" s="515"/>
      <c r="NNT22" s="515"/>
      <c r="NNU22" s="515"/>
      <c r="NNV22" s="515"/>
      <c r="NNW22" s="515"/>
      <c r="NNX22" s="515"/>
      <c r="NNY22" s="515"/>
      <c r="NNZ22" s="515"/>
      <c r="NOA22" s="515"/>
      <c r="NOB22" s="515"/>
      <c r="NOC22" s="515"/>
      <c r="NOD22" s="515"/>
      <c r="NOE22" s="515"/>
      <c r="NOF22" s="515"/>
      <c r="NOG22" s="515"/>
      <c r="NOH22" s="515"/>
      <c r="NOI22" s="515"/>
      <c r="NOJ22" s="515"/>
      <c r="NOK22" s="515"/>
      <c r="NOL22" s="515"/>
      <c r="NOM22" s="515"/>
      <c r="NON22" s="515"/>
      <c r="NOO22" s="515"/>
      <c r="NOP22" s="515"/>
      <c r="NOQ22" s="515"/>
      <c r="NOR22" s="515"/>
      <c r="NOS22" s="515"/>
      <c r="NOT22" s="515"/>
      <c r="NOU22" s="515"/>
      <c r="NOV22" s="515"/>
      <c r="NOW22" s="515"/>
      <c r="NOX22" s="515"/>
      <c r="NOY22" s="515"/>
      <c r="NOZ22" s="515"/>
      <c r="NPA22" s="515"/>
      <c r="NPB22" s="515"/>
      <c r="NPC22" s="515"/>
      <c r="NPD22" s="515"/>
      <c r="NPE22" s="515"/>
      <c r="NPF22" s="515"/>
      <c r="NPG22" s="515"/>
      <c r="NPH22" s="515"/>
      <c r="NPI22" s="515"/>
      <c r="NPJ22" s="515"/>
      <c r="NPK22" s="515"/>
      <c r="NPL22" s="515"/>
      <c r="NPM22" s="515"/>
      <c r="NPN22" s="515"/>
      <c r="NPO22" s="515"/>
      <c r="NPP22" s="515"/>
      <c r="NPQ22" s="515"/>
      <c r="NPR22" s="515"/>
      <c r="NPS22" s="515"/>
      <c r="NPT22" s="515"/>
      <c r="NPU22" s="515"/>
      <c r="NPV22" s="515"/>
      <c r="NPW22" s="515"/>
      <c r="NPX22" s="515"/>
      <c r="NPY22" s="515"/>
      <c r="NPZ22" s="515"/>
      <c r="NQA22" s="515"/>
      <c r="NQB22" s="515"/>
      <c r="NQC22" s="515"/>
      <c r="NQD22" s="515"/>
      <c r="NQE22" s="515"/>
      <c r="NQF22" s="515"/>
      <c r="NQG22" s="515"/>
      <c r="NQH22" s="515"/>
      <c r="NQI22" s="515"/>
      <c r="NQJ22" s="515"/>
      <c r="NQK22" s="515"/>
      <c r="NQL22" s="515"/>
      <c r="NQM22" s="515"/>
      <c r="NQN22" s="515"/>
      <c r="NQO22" s="515"/>
      <c r="NQP22" s="515"/>
      <c r="NQQ22" s="515"/>
      <c r="NQR22" s="515"/>
      <c r="NQS22" s="515"/>
      <c r="NQT22" s="515"/>
      <c r="NQU22" s="515"/>
      <c r="NQV22" s="515"/>
      <c r="NQW22" s="515"/>
      <c r="NQX22" s="515"/>
      <c r="NQY22" s="515"/>
      <c r="NQZ22" s="515"/>
      <c r="NRA22" s="515"/>
      <c r="NRB22" s="515"/>
      <c r="NRC22" s="515"/>
      <c r="NRD22" s="515"/>
      <c r="NRE22" s="515"/>
      <c r="NRF22" s="515"/>
      <c r="NRG22" s="515"/>
      <c r="NRH22" s="515"/>
      <c r="NRI22" s="515"/>
      <c r="NRJ22" s="515"/>
      <c r="NRK22" s="515"/>
      <c r="NRL22" s="515"/>
      <c r="NRM22" s="515"/>
      <c r="NRN22" s="515"/>
      <c r="NRO22" s="515"/>
      <c r="NRP22" s="515"/>
      <c r="NRQ22" s="515"/>
      <c r="NRR22" s="515"/>
      <c r="NRS22" s="515"/>
      <c r="NRT22" s="515"/>
      <c r="NRU22" s="515"/>
      <c r="NRV22" s="515"/>
      <c r="NRW22" s="515"/>
      <c r="NRX22" s="515"/>
      <c r="NRY22" s="515"/>
      <c r="NRZ22" s="515"/>
      <c r="NSA22" s="515"/>
      <c r="NSB22" s="515"/>
      <c r="NSC22" s="515"/>
      <c r="NSD22" s="515"/>
      <c r="NSE22" s="515"/>
      <c r="NSF22" s="515"/>
      <c r="NSG22" s="515"/>
      <c r="NSH22" s="515"/>
      <c r="NSI22" s="515"/>
      <c r="NSJ22" s="515"/>
      <c r="NSK22" s="515"/>
      <c r="NSL22" s="515"/>
      <c r="NSM22" s="515"/>
      <c r="NSN22" s="515"/>
      <c r="NSO22" s="515"/>
      <c r="NSP22" s="515"/>
      <c r="NSQ22" s="515"/>
      <c r="NSR22" s="515"/>
      <c r="NSS22" s="515"/>
      <c r="NST22" s="515"/>
      <c r="NSU22" s="515"/>
      <c r="NSV22" s="515"/>
      <c r="NSW22" s="515"/>
      <c r="NSX22" s="515"/>
      <c r="NSY22" s="515"/>
      <c r="NSZ22" s="515"/>
      <c r="NTA22" s="515"/>
      <c r="NTB22" s="515"/>
      <c r="NTC22" s="515"/>
      <c r="NTD22" s="515"/>
      <c r="NTE22" s="515"/>
      <c r="NTF22" s="515"/>
      <c r="NTG22" s="515"/>
      <c r="NTH22" s="515"/>
      <c r="NTI22" s="515"/>
      <c r="NTJ22" s="515"/>
      <c r="NTK22" s="515"/>
      <c r="NTL22" s="515"/>
      <c r="NTM22" s="515"/>
      <c r="NTN22" s="515"/>
      <c r="NTO22" s="515"/>
      <c r="NTP22" s="515"/>
      <c r="NTQ22" s="515"/>
      <c r="NTR22" s="515"/>
      <c r="NTS22" s="515"/>
      <c r="NTT22" s="515"/>
      <c r="NTU22" s="515"/>
      <c r="NTV22" s="515"/>
      <c r="NTW22" s="515"/>
      <c r="NTX22" s="515"/>
      <c r="NTY22" s="515"/>
      <c r="NTZ22" s="515"/>
      <c r="NUA22" s="515"/>
      <c r="NUB22" s="515"/>
      <c r="NUC22" s="515"/>
      <c r="NUD22" s="515"/>
      <c r="NUE22" s="515"/>
      <c r="NUF22" s="515"/>
      <c r="NUG22" s="515"/>
      <c r="NUH22" s="515"/>
      <c r="NUI22" s="515"/>
      <c r="NUJ22" s="515"/>
      <c r="NUK22" s="515"/>
      <c r="NUL22" s="515"/>
      <c r="NUM22" s="515"/>
      <c r="NUN22" s="515"/>
      <c r="NUO22" s="515"/>
      <c r="NUP22" s="515"/>
      <c r="NUQ22" s="515"/>
      <c r="NUR22" s="515"/>
      <c r="NUS22" s="515"/>
      <c r="NUT22" s="515"/>
      <c r="NUU22" s="515"/>
      <c r="NUV22" s="515"/>
      <c r="NUW22" s="515"/>
      <c r="NUX22" s="515"/>
      <c r="NUY22" s="515"/>
      <c r="NUZ22" s="515"/>
      <c r="NVA22" s="515"/>
      <c r="NVB22" s="515"/>
      <c r="NVC22" s="515"/>
      <c r="NVD22" s="515"/>
      <c r="NVE22" s="515"/>
      <c r="NVF22" s="515"/>
      <c r="NVG22" s="515"/>
      <c r="NVH22" s="515"/>
      <c r="NVI22" s="515"/>
      <c r="NVJ22" s="515"/>
      <c r="NVK22" s="515"/>
      <c r="NVL22" s="515"/>
      <c r="NVM22" s="515"/>
      <c r="NVN22" s="515"/>
      <c r="NVO22" s="515"/>
      <c r="NVP22" s="515"/>
      <c r="NVQ22" s="515"/>
      <c r="NVR22" s="515"/>
      <c r="NVS22" s="515"/>
      <c r="NVT22" s="515"/>
      <c r="NVU22" s="515"/>
      <c r="NVV22" s="515"/>
      <c r="NVW22" s="515"/>
      <c r="NVX22" s="515"/>
      <c r="NVY22" s="515"/>
      <c r="NVZ22" s="515"/>
      <c r="NWA22" s="515"/>
      <c r="NWB22" s="515"/>
      <c r="NWC22" s="515"/>
      <c r="NWD22" s="515"/>
      <c r="NWE22" s="515"/>
      <c r="NWF22" s="515"/>
      <c r="NWG22" s="515"/>
      <c r="NWH22" s="515"/>
      <c r="NWI22" s="515"/>
      <c r="NWJ22" s="515"/>
      <c r="NWK22" s="515"/>
      <c r="NWL22" s="515"/>
      <c r="NWM22" s="515"/>
      <c r="NWN22" s="515"/>
      <c r="NWO22" s="515"/>
      <c r="NWP22" s="515"/>
      <c r="NWQ22" s="515"/>
      <c r="NWR22" s="515"/>
      <c r="NWS22" s="515"/>
      <c r="NWT22" s="515"/>
      <c r="NWU22" s="515"/>
      <c r="NWV22" s="515"/>
      <c r="NWW22" s="515"/>
      <c r="NWX22" s="515"/>
      <c r="NWY22" s="515"/>
      <c r="NWZ22" s="515"/>
      <c r="NXA22" s="515"/>
      <c r="NXB22" s="515"/>
      <c r="NXC22" s="515"/>
      <c r="NXD22" s="515"/>
      <c r="NXE22" s="515"/>
      <c r="NXF22" s="515"/>
      <c r="NXG22" s="515"/>
      <c r="NXH22" s="515"/>
      <c r="NXI22" s="515"/>
      <c r="NXJ22" s="515"/>
      <c r="NXK22" s="515"/>
      <c r="NXL22" s="515"/>
      <c r="NXM22" s="515"/>
      <c r="NXN22" s="515"/>
      <c r="NXO22" s="515"/>
      <c r="NXP22" s="515"/>
      <c r="NXQ22" s="515"/>
      <c r="NXR22" s="515"/>
      <c r="NXS22" s="515"/>
      <c r="NXT22" s="515"/>
      <c r="NXU22" s="515"/>
      <c r="NXV22" s="515"/>
      <c r="NXW22" s="515"/>
      <c r="NXX22" s="515"/>
      <c r="NXY22" s="515"/>
      <c r="NXZ22" s="515"/>
      <c r="NYA22" s="515"/>
      <c r="NYB22" s="515"/>
      <c r="NYC22" s="515"/>
      <c r="NYD22" s="515"/>
      <c r="NYE22" s="515"/>
      <c r="NYF22" s="515"/>
      <c r="NYG22" s="515"/>
      <c r="NYH22" s="515"/>
      <c r="NYI22" s="515"/>
      <c r="NYJ22" s="515"/>
      <c r="NYK22" s="515"/>
      <c r="NYL22" s="515"/>
      <c r="NYM22" s="515"/>
      <c r="NYN22" s="515"/>
      <c r="NYO22" s="515"/>
      <c r="NYP22" s="515"/>
      <c r="NYQ22" s="515"/>
      <c r="NYR22" s="515"/>
      <c r="NYS22" s="515"/>
      <c r="NYT22" s="515"/>
      <c r="NYU22" s="515"/>
      <c r="NYV22" s="515"/>
      <c r="NYW22" s="515"/>
      <c r="NYX22" s="515"/>
      <c r="NYY22" s="515"/>
      <c r="NYZ22" s="515"/>
      <c r="NZA22" s="515"/>
      <c r="NZB22" s="515"/>
      <c r="NZC22" s="515"/>
      <c r="NZD22" s="515"/>
      <c r="NZE22" s="515"/>
      <c r="NZF22" s="515"/>
      <c r="NZG22" s="515"/>
      <c r="NZH22" s="515"/>
      <c r="NZI22" s="515"/>
      <c r="NZJ22" s="515"/>
      <c r="NZK22" s="515"/>
      <c r="NZL22" s="515"/>
      <c r="NZM22" s="515"/>
      <c r="NZN22" s="515"/>
      <c r="NZO22" s="515"/>
      <c r="NZP22" s="515"/>
      <c r="NZQ22" s="515"/>
      <c r="NZR22" s="515"/>
      <c r="NZS22" s="515"/>
      <c r="NZT22" s="515"/>
      <c r="NZU22" s="515"/>
      <c r="NZV22" s="515"/>
      <c r="NZW22" s="515"/>
      <c r="NZX22" s="515"/>
      <c r="NZY22" s="515"/>
      <c r="NZZ22" s="515"/>
      <c r="OAA22" s="515"/>
      <c r="OAB22" s="515"/>
      <c r="OAC22" s="515"/>
      <c r="OAD22" s="515"/>
      <c r="OAE22" s="515"/>
      <c r="OAF22" s="515"/>
      <c r="OAG22" s="515"/>
      <c r="OAH22" s="515"/>
      <c r="OAI22" s="515"/>
      <c r="OAJ22" s="515"/>
      <c r="OAK22" s="515"/>
      <c r="OAL22" s="515"/>
      <c r="OAM22" s="515"/>
      <c r="OAN22" s="515"/>
      <c r="OAO22" s="515"/>
      <c r="OAP22" s="515"/>
      <c r="OAQ22" s="515"/>
      <c r="OAR22" s="515"/>
      <c r="OAS22" s="515"/>
      <c r="OAT22" s="515"/>
      <c r="OAU22" s="515"/>
      <c r="OAV22" s="515"/>
      <c r="OAW22" s="515"/>
      <c r="OAX22" s="515"/>
      <c r="OAY22" s="515"/>
      <c r="OAZ22" s="515"/>
      <c r="OBA22" s="515"/>
      <c r="OBB22" s="515"/>
      <c r="OBC22" s="515"/>
      <c r="OBD22" s="515"/>
      <c r="OBE22" s="515"/>
      <c r="OBF22" s="515"/>
      <c r="OBG22" s="515"/>
      <c r="OBH22" s="515"/>
      <c r="OBI22" s="515"/>
      <c r="OBJ22" s="515"/>
      <c r="OBK22" s="515"/>
      <c r="OBL22" s="515"/>
      <c r="OBM22" s="515"/>
      <c r="OBN22" s="515"/>
      <c r="OBO22" s="515"/>
      <c r="OBP22" s="515"/>
      <c r="OBQ22" s="515"/>
      <c r="OBR22" s="515"/>
      <c r="OBS22" s="515"/>
      <c r="OBT22" s="515"/>
      <c r="OBU22" s="515"/>
      <c r="OBV22" s="515"/>
      <c r="OBW22" s="515"/>
      <c r="OBX22" s="515"/>
      <c r="OBY22" s="515"/>
      <c r="OBZ22" s="515"/>
      <c r="OCA22" s="515"/>
      <c r="OCB22" s="515"/>
      <c r="OCC22" s="515"/>
      <c r="OCD22" s="515"/>
      <c r="OCE22" s="515"/>
      <c r="OCF22" s="515"/>
      <c r="OCG22" s="515"/>
      <c r="OCH22" s="515"/>
      <c r="OCI22" s="515"/>
      <c r="OCJ22" s="515"/>
      <c r="OCK22" s="515"/>
      <c r="OCL22" s="515"/>
      <c r="OCM22" s="515"/>
      <c r="OCN22" s="515"/>
      <c r="OCO22" s="515"/>
      <c r="OCP22" s="515"/>
      <c r="OCQ22" s="515"/>
      <c r="OCR22" s="515"/>
      <c r="OCS22" s="515"/>
      <c r="OCT22" s="515"/>
      <c r="OCU22" s="515"/>
      <c r="OCV22" s="515"/>
      <c r="OCW22" s="515"/>
      <c r="OCX22" s="515"/>
      <c r="OCY22" s="515"/>
      <c r="OCZ22" s="515"/>
      <c r="ODA22" s="515"/>
      <c r="ODB22" s="515"/>
      <c r="ODC22" s="515"/>
      <c r="ODD22" s="515"/>
      <c r="ODE22" s="515"/>
      <c r="ODF22" s="515"/>
      <c r="ODG22" s="515"/>
      <c r="ODH22" s="515"/>
      <c r="ODI22" s="515"/>
      <c r="ODJ22" s="515"/>
      <c r="ODK22" s="515"/>
      <c r="ODL22" s="515"/>
      <c r="ODM22" s="515"/>
      <c r="ODN22" s="515"/>
      <c r="ODO22" s="515"/>
      <c r="ODP22" s="515"/>
      <c r="ODQ22" s="515"/>
      <c r="ODR22" s="515"/>
      <c r="ODS22" s="515"/>
      <c r="ODT22" s="515"/>
      <c r="ODU22" s="515"/>
      <c r="ODV22" s="515"/>
      <c r="ODW22" s="515"/>
      <c r="ODX22" s="515"/>
      <c r="ODY22" s="515"/>
      <c r="ODZ22" s="515"/>
      <c r="OEA22" s="515"/>
      <c r="OEB22" s="515"/>
      <c r="OEC22" s="515"/>
      <c r="OED22" s="515"/>
      <c r="OEE22" s="515"/>
      <c r="OEF22" s="515"/>
      <c r="OEG22" s="515"/>
      <c r="OEH22" s="515"/>
      <c r="OEI22" s="515"/>
      <c r="OEJ22" s="515"/>
      <c r="OEK22" s="515"/>
      <c r="OEL22" s="515"/>
      <c r="OEM22" s="515"/>
      <c r="OEN22" s="515"/>
      <c r="OEO22" s="515"/>
      <c r="OEP22" s="515"/>
      <c r="OEQ22" s="515"/>
      <c r="OER22" s="515"/>
      <c r="OES22" s="515"/>
      <c r="OET22" s="515"/>
      <c r="OEU22" s="515"/>
      <c r="OEV22" s="515"/>
      <c r="OEW22" s="515"/>
      <c r="OEX22" s="515"/>
      <c r="OEY22" s="515"/>
      <c r="OEZ22" s="515"/>
      <c r="OFA22" s="515"/>
      <c r="OFB22" s="515"/>
      <c r="OFC22" s="515"/>
      <c r="OFD22" s="515"/>
      <c r="OFE22" s="515"/>
      <c r="OFF22" s="515"/>
      <c r="OFG22" s="515"/>
      <c r="OFH22" s="515"/>
      <c r="OFI22" s="515"/>
      <c r="OFJ22" s="515"/>
      <c r="OFK22" s="515"/>
      <c r="OFL22" s="515"/>
      <c r="OFM22" s="515"/>
      <c r="OFN22" s="515"/>
      <c r="OFO22" s="515"/>
      <c r="OFP22" s="515"/>
      <c r="OFQ22" s="515"/>
      <c r="OFR22" s="515"/>
      <c r="OFS22" s="515"/>
      <c r="OFT22" s="515"/>
      <c r="OFU22" s="515"/>
      <c r="OFV22" s="515"/>
      <c r="OFW22" s="515"/>
      <c r="OFX22" s="515"/>
      <c r="OFY22" s="515"/>
      <c r="OFZ22" s="515"/>
      <c r="OGA22" s="515"/>
      <c r="OGB22" s="515"/>
      <c r="OGC22" s="515"/>
      <c r="OGD22" s="515"/>
      <c r="OGE22" s="515"/>
      <c r="OGF22" s="515"/>
      <c r="OGG22" s="515"/>
      <c r="OGH22" s="515"/>
      <c r="OGI22" s="515"/>
      <c r="OGJ22" s="515"/>
      <c r="OGK22" s="515"/>
      <c r="OGL22" s="515"/>
      <c r="OGM22" s="515"/>
      <c r="OGN22" s="515"/>
      <c r="OGO22" s="515"/>
      <c r="OGP22" s="515"/>
      <c r="OGQ22" s="515"/>
      <c r="OGR22" s="515"/>
      <c r="OGS22" s="515"/>
      <c r="OGT22" s="515"/>
      <c r="OGU22" s="515"/>
      <c r="OGV22" s="515"/>
      <c r="OGW22" s="515"/>
      <c r="OGX22" s="515"/>
      <c r="OGY22" s="515"/>
      <c r="OGZ22" s="515"/>
      <c r="OHA22" s="515"/>
      <c r="OHB22" s="515"/>
      <c r="OHC22" s="515"/>
      <c r="OHD22" s="515"/>
      <c r="OHE22" s="515"/>
      <c r="OHF22" s="515"/>
      <c r="OHG22" s="515"/>
      <c r="OHH22" s="515"/>
      <c r="OHI22" s="515"/>
      <c r="OHJ22" s="515"/>
      <c r="OHK22" s="515"/>
      <c r="OHL22" s="515"/>
      <c r="OHM22" s="515"/>
      <c r="OHN22" s="515"/>
      <c r="OHO22" s="515"/>
      <c r="OHP22" s="515"/>
      <c r="OHQ22" s="515"/>
      <c r="OHR22" s="515"/>
      <c r="OHS22" s="515"/>
      <c r="OHT22" s="515"/>
      <c r="OHU22" s="515"/>
      <c r="OHV22" s="515"/>
      <c r="OHW22" s="515"/>
      <c r="OHX22" s="515"/>
      <c r="OHY22" s="515"/>
      <c r="OHZ22" s="515"/>
      <c r="OIA22" s="515"/>
      <c r="OIB22" s="515"/>
      <c r="OIC22" s="515"/>
      <c r="OID22" s="515"/>
      <c r="OIE22" s="515"/>
      <c r="OIF22" s="515"/>
      <c r="OIG22" s="515"/>
      <c r="OIH22" s="515"/>
      <c r="OII22" s="515"/>
      <c r="OIJ22" s="515"/>
      <c r="OIK22" s="515"/>
      <c r="OIL22" s="515"/>
      <c r="OIM22" s="515"/>
      <c r="OIN22" s="515"/>
      <c r="OIO22" s="515"/>
      <c r="OIP22" s="515"/>
      <c r="OIQ22" s="515"/>
      <c r="OIR22" s="515"/>
      <c r="OIS22" s="515"/>
      <c r="OIT22" s="515"/>
      <c r="OIU22" s="515"/>
      <c r="OIV22" s="515"/>
      <c r="OIW22" s="515"/>
      <c r="OIX22" s="515"/>
      <c r="OIY22" s="515"/>
      <c r="OIZ22" s="515"/>
      <c r="OJA22" s="515"/>
      <c r="OJB22" s="515"/>
      <c r="OJC22" s="515"/>
      <c r="OJD22" s="515"/>
      <c r="OJE22" s="515"/>
      <c r="OJF22" s="515"/>
      <c r="OJG22" s="515"/>
      <c r="OJH22" s="515"/>
      <c r="OJI22" s="515"/>
      <c r="OJJ22" s="515"/>
      <c r="OJK22" s="515"/>
      <c r="OJL22" s="515"/>
      <c r="OJM22" s="515"/>
      <c r="OJN22" s="515"/>
      <c r="OJO22" s="515"/>
      <c r="OJP22" s="515"/>
      <c r="OJQ22" s="515"/>
      <c r="OJR22" s="515"/>
      <c r="OJS22" s="515"/>
      <c r="OJT22" s="515"/>
      <c r="OJU22" s="515"/>
      <c r="OJV22" s="515"/>
      <c r="OJW22" s="515"/>
      <c r="OJX22" s="515"/>
      <c r="OJY22" s="515"/>
      <c r="OJZ22" s="515"/>
      <c r="OKA22" s="515"/>
      <c r="OKB22" s="515"/>
      <c r="OKC22" s="515"/>
      <c r="OKD22" s="515"/>
      <c r="OKE22" s="515"/>
      <c r="OKF22" s="515"/>
      <c r="OKG22" s="515"/>
      <c r="OKH22" s="515"/>
      <c r="OKI22" s="515"/>
      <c r="OKJ22" s="515"/>
      <c r="OKK22" s="515"/>
      <c r="OKL22" s="515"/>
      <c r="OKM22" s="515"/>
      <c r="OKN22" s="515"/>
      <c r="OKO22" s="515"/>
      <c r="OKP22" s="515"/>
      <c r="OKQ22" s="515"/>
      <c r="OKR22" s="515"/>
      <c r="OKS22" s="515"/>
      <c r="OKT22" s="515"/>
      <c r="OKU22" s="515"/>
      <c r="OKV22" s="515"/>
      <c r="OKW22" s="515"/>
      <c r="OKX22" s="515"/>
      <c r="OKY22" s="515"/>
      <c r="OKZ22" s="515"/>
      <c r="OLA22" s="515"/>
      <c r="OLB22" s="515"/>
      <c r="OLC22" s="515"/>
      <c r="OLD22" s="515"/>
      <c r="OLE22" s="515"/>
      <c r="OLF22" s="515"/>
      <c r="OLG22" s="515"/>
      <c r="OLH22" s="515"/>
      <c r="OLI22" s="515"/>
      <c r="OLJ22" s="515"/>
      <c r="OLK22" s="515"/>
      <c r="OLL22" s="515"/>
      <c r="OLM22" s="515"/>
      <c r="OLN22" s="515"/>
      <c r="OLO22" s="515"/>
      <c r="OLP22" s="515"/>
      <c r="OLQ22" s="515"/>
      <c r="OLR22" s="515"/>
      <c r="OLS22" s="515"/>
      <c r="OLT22" s="515"/>
      <c r="OLU22" s="515"/>
      <c r="OLV22" s="515"/>
      <c r="OLW22" s="515"/>
      <c r="OLX22" s="515"/>
      <c r="OLY22" s="515"/>
      <c r="OLZ22" s="515"/>
      <c r="OMA22" s="515"/>
      <c r="OMB22" s="515"/>
      <c r="OMC22" s="515"/>
      <c r="OMD22" s="515"/>
      <c r="OME22" s="515"/>
      <c r="OMF22" s="515"/>
      <c r="OMG22" s="515"/>
      <c r="OMH22" s="515"/>
      <c r="OMI22" s="515"/>
      <c r="OMJ22" s="515"/>
      <c r="OMK22" s="515"/>
      <c r="OML22" s="515"/>
      <c r="OMM22" s="515"/>
      <c r="OMN22" s="515"/>
      <c r="OMO22" s="515"/>
      <c r="OMP22" s="515"/>
      <c r="OMQ22" s="515"/>
      <c r="OMR22" s="515"/>
      <c r="OMS22" s="515"/>
      <c r="OMT22" s="515"/>
      <c r="OMU22" s="515"/>
      <c r="OMV22" s="515"/>
      <c r="OMW22" s="515"/>
      <c r="OMX22" s="515"/>
      <c r="OMY22" s="515"/>
      <c r="OMZ22" s="515"/>
      <c r="ONA22" s="515"/>
      <c r="ONB22" s="515"/>
      <c r="ONC22" s="515"/>
      <c r="OND22" s="515"/>
      <c r="ONE22" s="515"/>
      <c r="ONF22" s="515"/>
      <c r="ONG22" s="515"/>
      <c r="ONH22" s="515"/>
      <c r="ONI22" s="515"/>
      <c r="ONJ22" s="515"/>
      <c r="ONK22" s="515"/>
      <c r="ONL22" s="515"/>
      <c r="ONM22" s="515"/>
      <c r="ONN22" s="515"/>
      <c r="ONO22" s="515"/>
      <c r="ONP22" s="515"/>
      <c r="ONQ22" s="515"/>
      <c r="ONR22" s="515"/>
      <c r="ONS22" s="515"/>
      <c r="ONT22" s="515"/>
      <c r="ONU22" s="515"/>
      <c r="ONV22" s="515"/>
      <c r="ONW22" s="515"/>
      <c r="ONX22" s="515"/>
      <c r="ONY22" s="515"/>
      <c r="ONZ22" s="515"/>
      <c r="OOA22" s="515"/>
      <c r="OOB22" s="515"/>
      <c r="OOC22" s="515"/>
      <c r="OOD22" s="515"/>
      <c r="OOE22" s="515"/>
      <c r="OOF22" s="515"/>
      <c r="OOG22" s="515"/>
      <c r="OOH22" s="515"/>
      <c r="OOI22" s="515"/>
      <c r="OOJ22" s="515"/>
      <c r="OOK22" s="515"/>
      <c r="OOL22" s="515"/>
      <c r="OOM22" s="515"/>
      <c r="OON22" s="515"/>
      <c r="OOO22" s="515"/>
      <c r="OOP22" s="515"/>
      <c r="OOQ22" s="515"/>
      <c r="OOR22" s="515"/>
      <c r="OOS22" s="515"/>
      <c r="OOT22" s="515"/>
      <c r="OOU22" s="515"/>
      <c r="OOV22" s="515"/>
      <c r="OOW22" s="515"/>
      <c r="OOX22" s="515"/>
      <c r="OOY22" s="515"/>
      <c r="OOZ22" s="515"/>
      <c r="OPA22" s="515"/>
      <c r="OPB22" s="515"/>
      <c r="OPC22" s="515"/>
      <c r="OPD22" s="515"/>
      <c r="OPE22" s="515"/>
      <c r="OPF22" s="515"/>
      <c r="OPG22" s="515"/>
      <c r="OPH22" s="515"/>
      <c r="OPI22" s="515"/>
      <c r="OPJ22" s="515"/>
      <c r="OPK22" s="515"/>
      <c r="OPL22" s="515"/>
      <c r="OPM22" s="515"/>
      <c r="OPN22" s="515"/>
      <c r="OPO22" s="515"/>
      <c r="OPP22" s="515"/>
      <c r="OPQ22" s="515"/>
      <c r="OPR22" s="515"/>
      <c r="OPS22" s="515"/>
      <c r="OPT22" s="515"/>
      <c r="OPU22" s="515"/>
      <c r="OPV22" s="515"/>
      <c r="OPW22" s="515"/>
      <c r="OPX22" s="515"/>
      <c r="OPY22" s="515"/>
      <c r="OPZ22" s="515"/>
      <c r="OQA22" s="515"/>
      <c r="OQB22" s="515"/>
      <c r="OQC22" s="515"/>
      <c r="OQD22" s="515"/>
      <c r="OQE22" s="515"/>
      <c r="OQF22" s="515"/>
      <c r="OQG22" s="515"/>
      <c r="OQH22" s="515"/>
      <c r="OQI22" s="515"/>
      <c r="OQJ22" s="515"/>
      <c r="OQK22" s="515"/>
      <c r="OQL22" s="515"/>
      <c r="OQM22" s="515"/>
      <c r="OQN22" s="515"/>
      <c r="OQO22" s="515"/>
      <c r="OQP22" s="515"/>
      <c r="OQQ22" s="515"/>
      <c r="OQR22" s="515"/>
      <c r="OQS22" s="515"/>
      <c r="OQT22" s="515"/>
      <c r="OQU22" s="515"/>
      <c r="OQV22" s="515"/>
      <c r="OQW22" s="515"/>
      <c r="OQX22" s="515"/>
      <c r="OQY22" s="515"/>
      <c r="OQZ22" s="515"/>
      <c r="ORA22" s="515"/>
      <c r="ORB22" s="515"/>
      <c r="ORC22" s="515"/>
      <c r="ORD22" s="515"/>
      <c r="ORE22" s="515"/>
      <c r="ORF22" s="515"/>
      <c r="ORG22" s="515"/>
      <c r="ORH22" s="515"/>
      <c r="ORI22" s="515"/>
      <c r="ORJ22" s="515"/>
      <c r="ORK22" s="515"/>
      <c r="ORL22" s="515"/>
      <c r="ORM22" s="515"/>
      <c r="ORN22" s="515"/>
      <c r="ORO22" s="515"/>
      <c r="ORP22" s="515"/>
      <c r="ORQ22" s="515"/>
      <c r="ORR22" s="515"/>
      <c r="ORS22" s="515"/>
      <c r="ORT22" s="515"/>
      <c r="ORU22" s="515"/>
      <c r="ORV22" s="515"/>
      <c r="ORW22" s="515"/>
      <c r="ORX22" s="515"/>
      <c r="ORY22" s="515"/>
      <c r="ORZ22" s="515"/>
      <c r="OSA22" s="515"/>
      <c r="OSB22" s="515"/>
      <c r="OSC22" s="515"/>
      <c r="OSD22" s="515"/>
      <c r="OSE22" s="515"/>
      <c r="OSF22" s="515"/>
      <c r="OSG22" s="515"/>
      <c r="OSH22" s="515"/>
      <c r="OSI22" s="515"/>
      <c r="OSJ22" s="515"/>
      <c r="OSK22" s="515"/>
      <c r="OSL22" s="515"/>
      <c r="OSM22" s="515"/>
      <c r="OSN22" s="515"/>
      <c r="OSO22" s="515"/>
      <c r="OSP22" s="515"/>
      <c r="OSQ22" s="515"/>
      <c r="OSR22" s="515"/>
      <c r="OSS22" s="515"/>
      <c r="OST22" s="515"/>
      <c r="OSU22" s="515"/>
      <c r="OSV22" s="515"/>
      <c r="OSW22" s="515"/>
      <c r="OSX22" s="515"/>
      <c r="OSY22" s="515"/>
      <c r="OSZ22" s="515"/>
      <c r="OTA22" s="515"/>
      <c r="OTB22" s="515"/>
      <c r="OTC22" s="515"/>
      <c r="OTD22" s="515"/>
      <c r="OTE22" s="515"/>
      <c r="OTF22" s="515"/>
      <c r="OTG22" s="515"/>
      <c r="OTH22" s="515"/>
      <c r="OTI22" s="515"/>
      <c r="OTJ22" s="515"/>
      <c r="OTK22" s="515"/>
      <c r="OTL22" s="515"/>
      <c r="OTM22" s="515"/>
      <c r="OTN22" s="515"/>
      <c r="OTO22" s="515"/>
      <c r="OTP22" s="515"/>
      <c r="OTQ22" s="515"/>
      <c r="OTR22" s="515"/>
      <c r="OTS22" s="515"/>
      <c r="OTT22" s="515"/>
      <c r="OTU22" s="515"/>
      <c r="OTV22" s="515"/>
      <c r="OTW22" s="515"/>
      <c r="OTX22" s="515"/>
      <c r="OTY22" s="515"/>
      <c r="OTZ22" s="515"/>
      <c r="OUA22" s="515"/>
      <c r="OUB22" s="515"/>
      <c r="OUC22" s="515"/>
      <c r="OUD22" s="515"/>
      <c r="OUE22" s="515"/>
      <c r="OUF22" s="515"/>
      <c r="OUG22" s="515"/>
      <c r="OUH22" s="515"/>
      <c r="OUI22" s="515"/>
      <c r="OUJ22" s="515"/>
      <c r="OUK22" s="515"/>
      <c r="OUL22" s="515"/>
      <c r="OUM22" s="515"/>
      <c r="OUN22" s="515"/>
      <c r="OUO22" s="515"/>
      <c r="OUP22" s="515"/>
      <c r="OUQ22" s="515"/>
      <c r="OUR22" s="515"/>
      <c r="OUS22" s="515"/>
      <c r="OUT22" s="515"/>
      <c r="OUU22" s="515"/>
      <c r="OUV22" s="515"/>
      <c r="OUW22" s="515"/>
      <c r="OUX22" s="515"/>
      <c r="OUY22" s="515"/>
      <c r="OUZ22" s="515"/>
      <c r="OVA22" s="515"/>
      <c r="OVB22" s="515"/>
      <c r="OVC22" s="515"/>
      <c r="OVD22" s="515"/>
      <c r="OVE22" s="515"/>
      <c r="OVF22" s="515"/>
      <c r="OVG22" s="515"/>
      <c r="OVH22" s="515"/>
      <c r="OVI22" s="515"/>
      <c r="OVJ22" s="515"/>
      <c r="OVK22" s="515"/>
      <c r="OVL22" s="515"/>
      <c r="OVM22" s="515"/>
      <c r="OVN22" s="515"/>
      <c r="OVO22" s="515"/>
      <c r="OVP22" s="515"/>
      <c r="OVQ22" s="515"/>
      <c r="OVR22" s="515"/>
      <c r="OVS22" s="515"/>
      <c r="OVT22" s="515"/>
      <c r="OVU22" s="515"/>
      <c r="OVV22" s="515"/>
      <c r="OVW22" s="515"/>
      <c r="OVX22" s="515"/>
      <c r="OVY22" s="515"/>
      <c r="OVZ22" s="515"/>
      <c r="OWA22" s="515"/>
      <c r="OWB22" s="515"/>
      <c r="OWC22" s="515"/>
      <c r="OWD22" s="515"/>
      <c r="OWE22" s="515"/>
      <c r="OWF22" s="515"/>
      <c r="OWG22" s="515"/>
      <c r="OWH22" s="515"/>
      <c r="OWI22" s="515"/>
      <c r="OWJ22" s="515"/>
      <c r="OWK22" s="515"/>
      <c r="OWL22" s="515"/>
      <c r="OWM22" s="515"/>
      <c r="OWN22" s="515"/>
      <c r="OWO22" s="515"/>
      <c r="OWP22" s="515"/>
      <c r="OWQ22" s="515"/>
      <c r="OWR22" s="515"/>
      <c r="OWS22" s="515"/>
      <c r="OWT22" s="515"/>
      <c r="OWU22" s="515"/>
      <c r="OWV22" s="515"/>
      <c r="OWW22" s="515"/>
      <c r="OWX22" s="515"/>
      <c r="OWY22" s="515"/>
      <c r="OWZ22" s="515"/>
      <c r="OXA22" s="515"/>
      <c r="OXB22" s="515"/>
      <c r="OXC22" s="515"/>
      <c r="OXD22" s="515"/>
      <c r="OXE22" s="515"/>
      <c r="OXF22" s="515"/>
      <c r="OXG22" s="515"/>
      <c r="OXH22" s="515"/>
      <c r="OXI22" s="515"/>
      <c r="OXJ22" s="515"/>
      <c r="OXK22" s="515"/>
      <c r="OXL22" s="515"/>
      <c r="OXM22" s="515"/>
      <c r="OXN22" s="515"/>
      <c r="OXO22" s="515"/>
      <c r="OXP22" s="515"/>
      <c r="OXQ22" s="515"/>
      <c r="OXR22" s="515"/>
      <c r="OXS22" s="515"/>
      <c r="OXT22" s="515"/>
      <c r="OXU22" s="515"/>
      <c r="OXV22" s="515"/>
      <c r="OXW22" s="515"/>
      <c r="OXX22" s="515"/>
      <c r="OXY22" s="515"/>
      <c r="OXZ22" s="515"/>
      <c r="OYA22" s="515"/>
      <c r="OYB22" s="515"/>
      <c r="OYC22" s="515"/>
      <c r="OYD22" s="515"/>
      <c r="OYE22" s="515"/>
      <c r="OYF22" s="515"/>
      <c r="OYG22" s="515"/>
      <c r="OYH22" s="515"/>
      <c r="OYI22" s="515"/>
      <c r="OYJ22" s="515"/>
      <c r="OYK22" s="515"/>
      <c r="OYL22" s="515"/>
      <c r="OYM22" s="515"/>
      <c r="OYN22" s="515"/>
      <c r="OYO22" s="515"/>
      <c r="OYP22" s="515"/>
      <c r="OYQ22" s="515"/>
      <c r="OYR22" s="515"/>
      <c r="OYS22" s="515"/>
      <c r="OYT22" s="515"/>
      <c r="OYU22" s="515"/>
      <c r="OYV22" s="515"/>
      <c r="OYW22" s="515"/>
      <c r="OYX22" s="515"/>
      <c r="OYY22" s="515"/>
      <c r="OYZ22" s="515"/>
      <c r="OZA22" s="515"/>
      <c r="OZB22" s="515"/>
      <c r="OZC22" s="515"/>
      <c r="OZD22" s="515"/>
      <c r="OZE22" s="515"/>
      <c r="OZF22" s="515"/>
      <c r="OZG22" s="515"/>
      <c r="OZH22" s="515"/>
      <c r="OZI22" s="515"/>
      <c r="OZJ22" s="515"/>
      <c r="OZK22" s="515"/>
      <c r="OZL22" s="515"/>
      <c r="OZM22" s="515"/>
      <c r="OZN22" s="515"/>
      <c r="OZO22" s="515"/>
      <c r="OZP22" s="515"/>
      <c r="OZQ22" s="515"/>
      <c r="OZR22" s="515"/>
      <c r="OZS22" s="515"/>
      <c r="OZT22" s="515"/>
      <c r="OZU22" s="515"/>
      <c r="OZV22" s="515"/>
      <c r="OZW22" s="515"/>
      <c r="OZX22" s="515"/>
      <c r="OZY22" s="515"/>
      <c r="OZZ22" s="515"/>
      <c r="PAA22" s="515"/>
      <c r="PAB22" s="515"/>
      <c r="PAC22" s="515"/>
      <c r="PAD22" s="515"/>
      <c r="PAE22" s="515"/>
      <c r="PAF22" s="515"/>
      <c r="PAG22" s="515"/>
      <c r="PAH22" s="515"/>
      <c r="PAI22" s="515"/>
      <c r="PAJ22" s="515"/>
      <c r="PAK22" s="515"/>
      <c r="PAL22" s="515"/>
      <c r="PAM22" s="515"/>
      <c r="PAN22" s="515"/>
      <c r="PAO22" s="515"/>
      <c r="PAP22" s="515"/>
      <c r="PAQ22" s="515"/>
      <c r="PAR22" s="515"/>
      <c r="PAS22" s="515"/>
      <c r="PAT22" s="515"/>
      <c r="PAU22" s="515"/>
      <c r="PAV22" s="515"/>
      <c r="PAW22" s="515"/>
      <c r="PAX22" s="515"/>
      <c r="PAY22" s="515"/>
      <c r="PAZ22" s="515"/>
      <c r="PBA22" s="515"/>
      <c r="PBB22" s="515"/>
      <c r="PBC22" s="515"/>
      <c r="PBD22" s="515"/>
      <c r="PBE22" s="515"/>
      <c r="PBF22" s="515"/>
      <c r="PBG22" s="515"/>
      <c r="PBH22" s="515"/>
      <c r="PBI22" s="515"/>
      <c r="PBJ22" s="515"/>
      <c r="PBK22" s="515"/>
      <c r="PBL22" s="515"/>
      <c r="PBM22" s="515"/>
      <c r="PBN22" s="515"/>
      <c r="PBO22" s="515"/>
      <c r="PBP22" s="515"/>
      <c r="PBQ22" s="515"/>
      <c r="PBR22" s="515"/>
      <c r="PBS22" s="515"/>
      <c r="PBT22" s="515"/>
      <c r="PBU22" s="515"/>
      <c r="PBV22" s="515"/>
      <c r="PBW22" s="515"/>
      <c r="PBX22" s="515"/>
      <c r="PBY22" s="515"/>
      <c r="PBZ22" s="515"/>
      <c r="PCA22" s="515"/>
      <c r="PCB22" s="515"/>
      <c r="PCC22" s="515"/>
      <c r="PCD22" s="515"/>
      <c r="PCE22" s="515"/>
      <c r="PCF22" s="515"/>
      <c r="PCG22" s="515"/>
      <c r="PCH22" s="515"/>
      <c r="PCI22" s="515"/>
      <c r="PCJ22" s="515"/>
      <c r="PCK22" s="515"/>
      <c r="PCL22" s="515"/>
      <c r="PCM22" s="515"/>
      <c r="PCN22" s="515"/>
      <c r="PCO22" s="515"/>
      <c r="PCP22" s="515"/>
      <c r="PCQ22" s="515"/>
      <c r="PCR22" s="515"/>
      <c r="PCS22" s="515"/>
      <c r="PCT22" s="515"/>
      <c r="PCU22" s="515"/>
      <c r="PCV22" s="515"/>
      <c r="PCW22" s="515"/>
      <c r="PCX22" s="515"/>
      <c r="PCY22" s="515"/>
      <c r="PCZ22" s="515"/>
      <c r="PDA22" s="515"/>
      <c r="PDB22" s="515"/>
      <c r="PDC22" s="515"/>
      <c r="PDD22" s="515"/>
      <c r="PDE22" s="515"/>
      <c r="PDF22" s="515"/>
      <c r="PDG22" s="515"/>
      <c r="PDH22" s="515"/>
      <c r="PDI22" s="515"/>
      <c r="PDJ22" s="515"/>
      <c r="PDK22" s="515"/>
      <c r="PDL22" s="515"/>
      <c r="PDM22" s="515"/>
      <c r="PDN22" s="515"/>
      <c r="PDO22" s="515"/>
      <c r="PDP22" s="515"/>
      <c r="PDQ22" s="515"/>
      <c r="PDR22" s="515"/>
      <c r="PDS22" s="515"/>
      <c r="PDT22" s="515"/>
      <c r="PDU22" s="515"/>
      <c r="PDV22" s="515"/>
      <c r="PDW22" s="515"/>
      <c r="PDX22" s="515"/>
      <c r="PDY22" s="515"/>
      <c r="PDZ22" s="515"/>
      <c r="PEA22" s="515"/>
      <c r="PEB22" s="515"/>
      <c r="PEC22" s="515"/>
      <c r="PED22" s="515"/>
      <c r="PEE22" s="515"/>
      <c r="PEF22" s="515"/>
      <c r="PEG22" s="515"/>
      <c r="PEH22" s="515"/>
      <c r="PEI22" s="515"/>
      <c r="PEJ22" s="515"/>
      <c r="PEK22" s="515"/>
      <c r="PEL22" s="515"/>
      <c r="PEM22" s="515"/>
      <c r="PEN22" s="515"/>
      <c r="PEO22" s="515"/>
      <c r="PEP22" s="515"/>
      <c r="PEQ22" s="515"/>
      <c r="PER22" s="515"/>
      <c r="PES22" s="515"/>
      <c r="PET22" s="515"/>
      <c r="PEU22" s="515"/>
      <c r="PEV22" s="515"/>
      <c r="PEW22" s="515"/>
      <c r="PEX22" s="515"/>
      <c r="PEY22" s="515"/>
      <c r="PEZ22" s="515"/>
      <c r="PFA22" s="515"/>
      <c r="PFB22" s="515"/>
      <c r="PFC22" s="515"/>
      <c r="PFD22" s="515"/>
      <c r="PFE22" s="515"/>
      <c r="PFF22" s="515"/>
      <c r="PFG22" s="515"/>
      <c r="PFH22" s="515"/>
      <c r="PFI22" s="515"/>
      <c r="PFJ22" s="515"/>
      <c r="PFK22" s="515"/>
      <c r="PFL22" s="515"/>
      <c r="PFM22" s="515"/>
      <c r="PFN22" s="515"/>
      <c r="PFO22" s="515"/>
      <c r="PFP22" s="515"/>
      <c r="PFQ22" s="515"/>
      <c r="PFR22" s="515"/>
      <c r="PFS22" s="515"/>
      <c r="PFT22" s="515"/>
      <c r="PFU22" s="515"/>
      <c r="PFV22" s="515"/>
      <c r="PFW22" s="515"/>
      <c r="PFX22" s="515"/>
      <c r="PFY22" s="515"/>
      <c r="PFZ22" s="515"/>
      <c r="PGA22" s="515"/>
      <c r="PGB22" s="515"/>
      <c r="PGC22" s="515"/>
      <c r="PGD22" s="515"/>
      <c r="PGE22" s="515"/>
      <c r="PGF22" s="515"/>
      <c r="PGG22" s="515"/>
      <c r="PGH22" s="515"/>
      <c r="PGI22" s="515"/>
      <c r="PGJ22" s="515"/>
      <c r="PGK22" s="515"/>
      <c r="PGL22" s="515"/>
      <c r="PGM22" s="515"/>
      <c r="PGN22" s="515"/>
      <c r="PGO22" s="515"/>
      <c r="PGP22" s="515"/>
      <c r="PGQ22" s="515"/>
      <c r="PGR22" s="515"/>
      <c r="PGS22" s="515"/>
      <c r="PGT22" s="515"/>
      <c r="PGU22" s="515"/>
      <c r="PGV22" s="515"/>
      <c r="PGW22" s="515"/>
      <c r="PGX22" s="515"/>
      <c r="PGY22" s="515"/>
      <c r="PGZ22" s="515"/>
      <c r="PHA22" s="515"/>
      <c r="PHB22" s="515"/>
      <c r="PHC22" s="515"/>
      <c r="PHD22" s="515"/>
      <c r="PHE22" s="515"/>
      <c r="PHF22" s="515"/>
      <c r="PHG22" s="515"/>
      <c r="PHH22" s="515"/>
      <c r="PHI22" s="515"/>
      <c r="PHJ22" s="515"/>
      <c r="PHK22" s="515"/>
      <c r="PHL22" s="515"/>
      <c r="PHM22" s="515"/>
      <c r="PHN22" s="515"/>
      <c r="PHO22" s="515"/>
      <c r="PHP22" s="515"/>
      <c r="PHQ22" s="515"/>
      <c r="PHR22" s="515"/>
      <c r="PHS22" s="515"/>
      <c r="PHT22" s="515"/>
      <c r="PHU22" s="515"/>
      <c r="PHV22" s="515"/>
      <c r="PHW22" s="515"/>
      <c r="PHX22" s="515"/>
      <c r="PHY22" s="515"/>
      <c r="PHZ22" s="515"/>
      <c r="PIA22" s="515"/>
      <c r="PIB22" s="515"/>
      <c r="PIC22" s="515"/>
      <c r="PID22" s="515"/>
      <c r="PIE22" s="515"/>
      <c r="PIF22" s="515"/>
      <c r="PIG22" s="515"/>
      <c r="PIH22" s="515"/>
      <c r="PII22" s="515"/>
      <c r="PIJ22" s="515"/>
      <c r="PIK22" s="515"/>
      <c r="PIL22" s="515"/>
      <c r="PIM22" s="515"/>
      <c r="PIN22" s="515"/>
      <c r="PIO22" s="515"/>
      <c r="PIP22" s="515"/>
      <c r="PIQ22" s="515"/>
      <c r="PIR22" s="515"/>
      <c r="PIS22" s="515"/>
      <c r="PIT22" s="515"/>
      <c r="PIU22" s="515"/>
      <c r="PIV22" s="515"/>
      <c r="PIW22" s="515"/>
      <c r="PIX22" s="515"/>
      <c r="PIY22" s="515"/>
      <c r="PIZ22" s="515"/>
      <c r="PJA22" s="515"/>
      <c r="PJB22" s="515"/>
      <c r="PJC22" s="515"/>
      <c r="PJD22" s="515"/>
      <c r="PJE22" s="515"/>
      <c r="PJF22" s="515"/>
      <c r="PJG22" s="515"/>
      <c r="PJH22" s="515"/>
      <c r="PJI22" s="515"/>
      <c r="PJJ22" s="515"/>
      <c r="PJK22" s="515"/>
      <c r="PJL22" s="515"/>
      <c r="PJM22" s="515"/>
      <c r="PJN22" s="515"/>
      <c r="PJO22" s="515"/>
      <c r="PJP22" s="515"/>
      <c r="PJQ22" s="515"/>
      <c r="PJR22" s="515"/>
      <c r="PJS22" s="515"/>
      <c r="PJT22" s="515"/>
      <c r="PJU22" s="515"/>
      <c r="PJV22" s="515"/>
      <c r="PJW22" s="515"/>
      <c r="PJX22" s="515"/>
      <c r="PJY22" s="515"/>
      <c r="PJZ22" s="515"/>
      <c r="PKA22" s="515"/>
      <c r="PKB22" s="515"/>
      <c r="PKC22" s="515"/>
      <c r="PKD22" s="515"/>
      <c r="PKE22" s="515"/>
      <c r="PKF22" s="515"/>
      <c r="PKG22" s="515"/>
      <c r="PKH22" s="515"/>
      <c r="PKI22" s="515"/>
      <c r="PKJ22" s="515"/>
      <c r="PKK22" s="515"/>
      <c r="PKL22" s="515"/>
      <c r="PKM22" s="515"/>
      <c r="PKN22" s="515"/>
      <c r="PKO22" s="515"/>
      <c r="PKP22" s="515"/>
      <c r="PKQ22" s="515"/>
      <c r="PKR22" s="515"/>
      <c r="PKS22" s="515"/>
      <c r="PKT22" s="515"/>
      <c r="PKU22" s="515"/>
      <c r="PKV22" s="515"/>
      <c r="PKW22" s="515"/>
      <c r="PKX22" s="515"/>
      <c r="PKY22" s="515"/>
      <c r="PKZ22" s="515"/>
      <c r="PLA22" s="515"/>
      <c r="PLB22" s="515"/>
      <c r="PLC22" s="515"/>
      <c r="PLD22" s="515"/>
      <c r="PLE22" s="515"/>
      <c r="PLF22" s="515"/>
      <c r="PLG22" s="515"/>
      <c r="PLH22" s="515"/>
      <c r="PLI22" s="515"/>
      <c r="PLJ22" s="515"/>
      <c r="PLK22" s="515"/>
      <c r="PLL22" s="515"/>
      <c r="PLM22" s="515"/>
      <c r="PLN22" s="515"/>
      <c r="PLO22" s="515"/>
      <c r="PLP22" s="515"/>
      <c r="PLQ22" s="515"/>
      <c r="PLR22" s="515"/>
      <c r="PLS22" s="515"/>
      <c r="PLT22" s="515"/>
      <c r="PLU22" s="515"/>
      <c r="PLV22" s="515"/>
      <c r="PLW22" s="515"/>
      <c r="PLX22" s="515"/>
      <c r="PLY22" s="515"/>
      <c r="PLZ22" s="515"/>
      <c r="PMA22" s="515"/>
      <c r="PMB22" s="515"/>
      <c r="PMC22" s="515"/>
      <c r="PMD22" s="515"/>
      <c r="PME22" s="515"/>
      <c r="PMF22" s="515"/>
      <c r="PMG22" s="515"/>
      <c r="PMH22" s="515"/>
      <c r="PMI22" s="515"/>
      <c r="PMJ22" s="515"/>
      <c r="PMK22" s="515"/>
      <c r="PML22" s="515"/>
      <c r="PMM22" s="515"/>
      <c r="PMN22" s="515"/>
      <c r="PMO22" s="515"/>
      <c r="PMP22" s="515"/>
      <c r="PMQ22" s="515"/>
      <c r="PMR22" s="515"/>
      <c r="PMS22" s="515"/>
      <c r="PMT22" s="515"/>
      <c r="PMU22" s="515"/>
      <c r="PMV22" s="515"/>
      <c r="PMW22" s="515"/>
      <c r="PMX22" s="515"/>
      <c r="PMY22" s="515"/>
      <c r="PMZ22" s="515"/>
      <c r="PNA22" s="515"/>
      <c r="PNB22" s="515"/>
      <c r="PNC22" s="515"/>
      <c r="PND22" s="515"/>
      <c r="PNE22" s="515"/>
      <c r="PNF22" s="515"/>
      <c r="PNG22" s="515"/>
      <c r="PNH22" s="515"/>
      <c r="PNI22" s="515"/>
      <c r="PNJ22" s="515"/>
      <c r="PNK22" s="515"/>
      <c r="PNL22" s="515"/>
      <c r="PNM22" s="515"/>
      <c r="PNN22" s="515"/>
      <c r="PNO22" s="515"/>
      <c r="PNP22" s="515"/>
      <c r="PNQ22" s="515"/>
      <c r="PNR22" s="515"/>
      <c r="PNS22" s="515"/>
      <c r="PNT22" s="515"/>
      <c r="PNU22" s="515"/>
      <c r="PNV22" s="515"/>
      <c r="PNW22" s="515"/>
      <c r="PNX22" s="515"/>
      <c r="PNY22" s="515"/>
      <c r="PNZ22" s="515"/>
      <c r="POA22" s="515"/>
      <c r="POB22" s="515"/>
      <c r="POC22" s="515"/>
      <c r="POD22" s="515"/>
      <c r="POE22" s="515"/>
      <c r="POF22" s="515"/>
      <c r="POG22" s="515"/>
      <c r="POH22" s="515"/>
      <c r="POI22" s="515"/>
      <c r="POJ22" s="515"/>
      <c r="POK22" s="515"/>
      <c r="POL22" s="515"/>
      <c r="POM22" s="515"/>
      <c r="PON22" s="515"/>
      <c r="POO22" s="515"/>
      <c r="POP22" s="515"/>
      <c r="POQ22" s="515"/>
      <c r="POR22" s="515"/>
      <c r="POS22" s="515"/>
      <c r="POT22" s="515"/>
      <c r="POU22" s="515"/>
      <c r="POV22" s="515"/>
      <c r="POW22" s="515"/>
      <c r="POX22" s="515"/>
      <c r="POY22" s="515"/>
      <c r="POZ22" s="515"/>
      <c r="PPA22" s="515"/>
      <c r="PPB22" s="515"/>
      <c r="PPC22" s="515"/>
      <c r="PPD22" s="515"/>
      <c r="PPE22" s="515"/>
      <c r="PPF22" s="515"/>
      <c r="PPG22" s="515"/>
      <c r="PPH22" s="515"/>
      <c r="PPI22" s="515"/>
      <c r="PPJ22" s="515"/>
      <c r="PPK22" s="515"/>
      <c r="PPL22" s="515"/>
      <c r="PPM22" s="515"/>
      <c r="PPN22" s="515"/>
      <c r="PPO22" s="515"/>
      <c r="PPP22" s="515"/>
      <c r="PPQ22" s="515"/>
      <c r="PPR22" s="515"/>
      <c r="PPS22" s="515"/>
      <c r="PPT22" s="515"/>
      <c r="PPU22" s="515"/>
      <c r="PPV22" s="515"/>
      <c r="PPW22" s="515"/>
      <c r="PPX22" s="515"/>
      <c r="PPY22" s="515"/>
      <c r="PPZ22" s="515"/>
      <c r="PQA22" s="515"/>
      <c r="PQB22" s="515"/>
      <c r="PQC22" s="515"/>
      <c r="PQD22" s="515"/>
      <c r="PQE22" s="515"/>
      <c r="PQF22" s="515"/>
      <c r="PQG22" s="515"/>
      <c r="PQH22" s="515"/>
      <c r="PQI22" s="515"/>
      <c r="PQJ22" s="515"/>
      <c r="PQK22" s="515"/>
      <c r="PQL22" s="515"/>
      <c r="PQM22" s="515"/>
      <c r="PQN22" s="515"/>
      <c r="PQO22" s="515"/>
      <c r="PQP22" s="515"/>
      <c r="PQQ22" s="515"/>
      <c r="PQR22" s="515"/>
      <c r="PQS22" s="515"/>
      <c r="PQT22" s="515"/>
      <c r="PQU22" s="515"/>
      <c r="PQV22" s="515"/>
      <c r="PQW22" s="515"/>
      <c r="PQX22" s="515"/>
      <c r="PQY22" s="515"/>
      <c r="PQZ22" s="515"/>
      <c r="PRA22" s="515"/>
      <c r="PRB22" s="515"/>
      <c r="PRC22" s="515"/>
      <c r="PRD22" s="515"/>
      <c r="PRE22" s="515"/>
      <c r="PRF22" s="515"/>
      <c r="PRG22" s="515"/>
      <c r="PRH22" s="515"/>
      <c r="PRI22" s="515"/>
      <c r="PRJ22" s="515"/>
      <c r="PRK22" s="515"/>
      <c r="PRL22" s="515"/>
      <c r="PRM22" s="515"/>
      <c r="PRN22" s="515"/>
      <c r="PRO22" s="515"/>
      <c r="PRP22" s="515"/>
      <c r="PRQ22" s="515"/>
      <c r="PRR22" s="515"/>
      <c r="PRS22" s="515"/>
      <c r="PRT22" s="515"/>
      <c r="PRU22" s="515"/>
      <c r="PRV22" s="515"/>
      <c r="PRW22" s="515"/>
      <c r="PRX22" s="515"/>
      <c r="PRY22" s="515"/>
      <c r="PRZ22" s="515"/>
      <c r="PSA22" s="515"/>
      <c r="PSB22" s="515"/>
      <c r="PSC22" s="515"/>
      <c r="PSD22" s="515"/>
      <c r="PSE22" s="515"/>
      <c r="PSF22" s="515"/>
      <c r="PSG22" s="515"/>
      <c r="PSH22" s="515"/>
      <c r="PSI22" s="515"/>
      <c r="PSJ22" s="515"/>
      <c r="PSK22" s="515"/>
      <c r="PSL22" s="515"/>
      <c r="PSM22" s="515"/>
      <c r="PSN22" s="515"/>
      <c r="PSO22" s="515"/>
      <c r="PSP22" s="515"/>
      <c r="PSQ22" s="515"/>
      <c r="PSR22" s="515"/>
      <c r="PSS22" s="515"/>
      <c r="PST22" s="515"/>
      <c r="PSU22" s="515"/>
      <c r="PSV22" s="515"/>
      <c r="PSW22" s="515"/>
      <c r="PSX22" s="515"/>
      <c r="PSY22" s="515"/>
      <c r="PSZ22" s="515"/>
      <c r="PTA22" s="515"/>
      <c r="PTB22" s="515"/>
      <c r="PTC22" s="515"/>
      <c r="PTD22" s="515"/>
      <c r="PTE22" s="515"/>
      <c r="PTF22" s="515"/>
      <c r="PTG22" s="515"/>
      <c r="PTH22" s="515"/>
      <c r="PTI22" s="515"/>
      <c r="PTJ22" s="515"/>
      <c r="PTK22" s="515"/>
      <c r="PTL22" s="515"/>
      <c r="PTM22" s="515"/>
      <c r="PTN22" s="515"/>
      <c r="PTO22" s="515"/>
      <c r="PTP22" s="515"/>
      <c r="PTQ22" s="515"/>
      <c r="PTR22" s="515"/>
      <c r="PTS22" s="515"/>
      <c r="PTT22" s="515"/>
      <c r="PTU22" s="515"/>
      <c r="PTV22" s="515"/>
      <c r="PTW22" s="515"/>
      <c r="PTX22" s="515"/>
      <c r="PTY22" s="515"/>
      <c r="PTZ22" s="515"/>
      <c r="PUA22" s="515"/>
      <c r="PUB22" s="515"/>
      <c r="PUC22" s="515"/>
      <c r="PUD22" s="515"/>
      <c r="PUE22" s="515"/>
      <c r="PUF22" s="515"/>
      <c r="PUG22" s="515"/>
      <c r="PUH22" s="515"/>
      <c r="PUI22" s="515"/>
      <c r="PUJ22" s="515"/>
      <c r="PUK22" s="515"/>
      <c r="PUL22" s="515"/>
      <c r="PUM22" s="515"/>
      <c r="PUN22" s="515"/>
      <c r="PUO22" s="515"/>
      <c r="PUP22" s="515"/>
      <c r="PUQ22" s="515"/>
      <c r="PUR22" s="515"/>
      <c r="PUS22" s="515"/>
      <c r="PUT22" s="515"/>
      <c r="PUU22" s="515"/>
      <c r="PUV22" s="515"/>
      <c r="PUW22" s="515"/>
      <c r="PUX22" s="515"/>
      <c r="PUY22" s="515"/>
      <c r="PUZ22" s="515"/>
      <c r="PVA22" s="515"/>
      <c r="PVB22" s="515"/>
      <c r="PVC22" s="515"/>
      <c r="PVD22" s="515"/>
      <c r="PVE22" s="515"/>
      <c r="PVF22" s="515"/>
      <c r="PVG22" s="515"/>
      <c r="PVH22" s="515"/>
      <c r="PVI22" s="515"/>
      <c r="PVJ22" s="515"/>
      <c r="PVK22" s="515"/>
      <c r="PVL22" s="515"/>
      <c r="PVM22" s="515"/>
      <c r="PVN22" s="515"/>
      <c r="PVO22" s="515"/>
      <c r="PVP22" s="515"/>
      <c r="PVQ22" s="515"/>
      <c r="PVR22" s="515"/>
      <c r="PVS22" s="515"/>
      <c r="PVT22" s="515"/>
      <c r="PVU22" s="515"/>
      <c r="PVV22" s="515"/>
      <c r="PVW22" s="515"/>
      <c r="PVX22" s="515"/>
      <c r="PVY22" s="515"/>
      <c r="PVZ22" s="515"/>
      <c r="PWA22" s="515"/>
      <c r="PWB22" s="515"/>
      <c r="PWC22" s="515"/>
      <c r="PWD22" s="515"/>
      <c r="PWE22" s="515"/>
      <c r="PWF22" s="515"/>
      <c r="PWG22" s="515"/>
      <c r="PWH22" s="515"/>
      <c r="PWI22" s="515"/>
      <c r="PWJ22" s="515"/>
      <c r="PWK22" s="515"/>
      <c r="PWL22" s="515"/>
      <c r="PWM22" s="515"/>
      <c r="PWN22" s="515"/>
      <c r="PWO22" s="515"/>
      <c r="PWP22" s="515"/>
      <c r="PWQ22" s="515"/>
      <c r="PWR22" s="515"/>
      <c r="PWS22" s="515"/>
      <c r="PWT22" s="515"/>
      <c r="PWU22" s="515"/>
      <c r="PWV22" s="515"/>
      <c r="PWW22" s="515"/>
      <c r="PWX22" s="515"/>
      <c r="PWY22" s="515"/>
      <c r="PWZ22" s="515"/>
      <c r="PXA22" s="515"/>
      <c r="PXB22" s="515"/>
      <c r="PXC22" s="515"/>
      <c r="PXD22" s="515"/>
      <c r="PXE22" s="515"/>
      <c r="PXF22" s="515"/>
      <c r="PXG22" s="515"/>
      <c r="PXH22" s="515"/>
      <c r="PXI22" s="515"/>
      <c r="PXJ22" s="515"/>
      <c r="PXK22" s="515"/>
      <c r="PXL22" s="515"/>
      <c r="PXM22" s="515"/>
      <c r="PXN22" s="515"/>
      <c r="PXO22" s="515"/>
      <c r="PXP22" s="515"/>
      <c r="PXQ22" s="515"/>
      <c r="PXR22" s="515"/>
      <c r="PXS22" s="515"/>
      <c r="PXT22" s="515"/>
      <c r="PXU22" s="515"/>
      <c r="PXV22" s="515"/>
      <c r="PXW22" s="515"/>
      <c r="PXX22" s="515"/>
      <c r="PXY22" s="515"/>
      <c r="PXZ22" s="515"/>
      <c r="PYA22" s="515"/>
      <c r="PYB22" s="515"/>
      <c r="PYC22" s="515"/>
      <c r="PYD22" s="515"/>
      <c r="PYE22" s="515"/>
      <c r="PYF22" s="515"/>
      <c r="PYG22" s="515"/>
      <c r="PYH22" s="515"/>
      <c r="PYI22" s="515"/>
      <c r="PYJ22" s="515"/>
      <c r="PYK22" s="515"/>
      <c r="PYL22" s="515"/>
      <c r="PYM22" s="515"/>
      <c r="PYN22" s="515"/>
      <c r="PYO22" s="515"/>
      <c r="PYP22" s="515"/>
      <c r="PYQ22" s="515"/>
      <c r="PYR22" s="515"/>
      <c r="PYS22" s="515"/>
      <c r="PYT22" s="515"/>
      <c r="PYU22" s="515"/>
      <c r="PYV22" s="515"/>
      <c r="PYW22" s="515"/>
      <c r="PYX22" s="515"/>
      <c r="PYY22" s="515"/>
      <c r="PYZ22" s="515"/>
      <c r="PZA22" s="515"/>
      <c r="PZB22" s="515"/>
      <c r="PZC22" s="515"/>
      <c r="PZD22" s="515"/>
      <c r="PZE22" s="515"/>
      <c r="PZF22" s="515"/>
      <c r="PZG22" s="515"/>
      <c r="PZH22" s="515"/>
      <c r="PZI22" s="515"/>
      <c r="PZJ22" s="515"/>
      <c r="PZK22" s="515"/>
      <c r="PZL22" s="515"/>
      <c r="PZM22" s="515"/>
      <c r="PZN22" s="515"/>
      <c r="PZO22" s="515"/>
      <c r="PZP22" s="515"/>
      <c r="PZQ22" s="515"/>
      <c r="PZR22" s="515"/>
      <c r="PZS22" s="515"/>
      <c r="PZT22" s="515"/>
      <c r="PZU22" s="515"/>
      <c r="PZV22" s="515"/>
      <c r="PZW22" s="515"/>
      <c r="PZX22" s="515"/>
      <c r="PZY22" s="515"/>
      <c r="PZZ22" s="515"/>
      <c r="QAA22" s="515"/>
      <c r="QAB22" s="515"/>
      <c r="QAC22" s="515"/>
      <c r="QAD22" s="515"/>
      <c r="QAE22" s="515"/>
      <c r="QAF22" s="515"/>
      <c r="QAG22" s="515"/>
      <c r="QAH22" s="515"/>
      <c r="QAI22" s="515"/>
      <c r="QAJ22" s="515"/>
      <c r="QAK22" s="515"/>
      <c r="QAL22" s="515"/>
      <c r="QAM22" s="515"/>
      <c r="QAN22" s="515"/>
      <c r="QAO22" s="515"/>
      <c r="QAP22" s="515"/>
      <c r="QAQ22" s="515"/>
      <c r="QAR22" s="515"/>
      <c r="QAS22" s="515"/>
      <c r="QAT22" s="515"/>
      <c r="QAU22" s="515"/>
      <c r="QAV22" s="515"/>
      <c r="QAW22" s="515"/>
      <c r="QAX22" s="515"/>
      <c r="QAY22" s="515"/>
      <c r="QAZ22" s="515"/>
      <c r="QBA22" s="515"/>
      <c r="QBB22" s="515"/>
      <c r="QBC22" s="515"/>
      <c r="QBD22" s="515"/>
      <c r="QBE22" s="515"/>
      <c r="QBF22" s="515"/>
      <c r="QBG22" s="515"/>
      <c r="QBH22" s="515"/>
      <c r="QBI22" s="515"/>
      <c r="QBJ22" s="515"/>
      <c r="QBK22" s="515"/>
      <c r="QBL22" s="515"/>
      <c r="QBM22" s="515"/>
      <c r="QBN22" s="515"/>
      <c r="QBO22" s="515"/>
      <c r="QBP22" s="515"/>
      <c r="QBQ22" s="515"/>
      <c r="QBR22" s="515"/>
      <c r="QBS22" s="515"/>
      <c r="QBT22" s="515"/>
      <c r="QBU22" s="515"/>
      <c r="QBV22" s="515"/>
      <c r="QBW22" s="515"/>
      <c r="QBX22" s="515"/>
      <c r="QBY22" s="515"/>
      <c r="QBZ22" s="515"/>
      <c r="QCA22" s="515"/>
      <c r="QCB22" s="515"/>
      <c r="QCC22" s="515"/>
      <c r="QCD22" s="515"/>
      <c r="QCE22" s="515"/>
      <c r="QCF22" s="515"/>
      <c r="QCG22" s="515"/>
      <c r="QCH22" s="515"/>
      <c r="QCI22" s="515"/>
      <c r="QCJ22" s="515"/>
      <c r="QCK22" s="515"/>
      <c r="QCL22" s="515"/>
      <c r="QCM22" s="515"/>
      <c r="QCN22" s="515"/>
      <c r="QCO22" s="515"/>
      <c r="QCP22" s="515"/>
      <c r="QCQ22" s="515"/>
      <c r="QCR22" s="515"/>
      <c r="QCS22" s="515"/>
      <c r="QCT22" s="515"/>
      <c r="QCU22" s="515"/>
      <c r="QCV22" s="515"/>
      <c r="QCW22" s="515"/>
      <c r="QCX22" s="515"/>
      <c r="QCY22" s="515"/>
      <c r="QCZ22" s="515"/>
      <c r="QDA22" s="515"/>
      <c r="QDB22" s="515"/>
      <c r="QDC22" s="515"/>
      <c r="QDD22" s="515"/>
      <c r="QDE22" s="515"/>
      <c r="QDF22" s="515"/>
      <c r="QDG22" s="515"/>
      <c r="QDH22" s="515"/>
      <c r="QDI22" s="515"/>
      <c r="QDJ22" s="515"/>
      <c r="QDK22" s="515"/>
      <c r="QDL22" s="515"/>
      <c r="QDM22" s="515"/>
      <c r="QDN22" s="515"/>
      <c r="QDO22" s="515"/>
      <c r="QDP22" s="515"/>
      <c r="QDQ22" s="515"/>
      <c r="QDR22" s="515"/>
      <c r="QDS22" s="515"/>
      <c r="QDT22" s="515"/>
      <c r="QDU22" s="515"/>
      <c r="QDV22" s="515"/>
      <c r="QDW22" s="515"/>
      <c r="QDX22" s="515"/>
      <c r="QDY22" s="515"/>
      <c r="QDZ22" s="515"/>
      <c r="QEA22" s="515"/>
      <c r="QEB22" s="515"/>
      <c r="QEC22" s="515"/>
      <c r="QED22" s="515"/>
      <c r="QEE22" s="515"/>
      <c r="QEF22" s="515"/>
      <c r="QEG22" s="515"/>
      <c r="QEH22" s="515"/>
      <c r="QEI22" s="515"/>
      <c r="QEJ22" s="515"/>
      <c r="QEK22" s="515"/>
      <c r="QEL22" s="515"/>
      <c r="QEM22" s="515"/>
      <c r="QEN22" s="515"/>
      <c r="QEO22" s="515"/>
      <c r="QEP22" s="515"/>
      <c r="QEQ22" s="515"/>
      <c r="QER22" s="515"/>
      <c r="QES22" s="515"/>
      <c r="QET22" s="515"/>
      <c r="QEU22" s="515"/>
      <c r="QEV22" s="515"/>
      <c r="QEW22" s="515"/>
      <c r="QEX22" s="515"/>
      <c r="QEY22" s="515"/>
      <c r="QEZ22" s="515"/>
      <c r="QFA22" s="515"/>
      <c r="QFB22" s="515"/>
      <c r="QFC22" s="515"/>
      <c r="QFD22" s="515"/>
      <c r="QFE22" s="515"/>
      <c r="QFF22" s="515"/>
      <c r="QFG22" s="515"/>
      <c r="QFH22" s="515"/>
      <c r="QFI22" s="515"/>
      <c r="QFJ22" s="515"/>
      <c r="QFK22" s="515"/>
      <c r="QFL22" s="515"/>
      <c r="QFM22" s="515"/>
      <c r="QFN22" s="515"/>
      <c r="QFO22" s="515"/>
      <c r="QFP22" s="515"/>
      <c r="QFQ22" s="515"/>
      <c r="QFR22" s="515"/>
      <c r="QFS22" s="515"/>
      <c r="QFT22" s="515"/>
      <c r="QFU22" s="515"/>
      <c r="QFV22" s="515"/>
      <c r="QFW22" s="515"/>
      <c r="QFX22" s="515"/>
      <c r="QFY22" s="515"/>
      <c r="QFZ22" s="515"/>
      <c r="QGA22" s="515"/>
      <c r="QGB22" s="515"/>
      <c r="QGC22" s="515"/>
      <c r="QGD22" s="515"/>
      <c r="QGE22" s="515"/>
      <c r="QGF22" s="515"/>
      <c r="QGG22" s="515"/>
      <c r="QGH22" s="515"/>
      <c r="QGI22" s="515"/>
      <c r="QGJ22" s="515"/>
      <c r="QGK22" s="515"/>
      <c r="QGL22" s="515"/>
      <c r="QGM22" s="515"/>
      <c r="QGN22" s="515"/>
      <c r="QGO22" s="515"/>
      <c r="QGP22" s="515"/>
      <c r="QGQ22" s="515"/>
      <c r="QGR22" s="515"/>
      <c r="QGS22" s="515"/>
      <c r="QGT22" s="515"/>
      <c r="QGU22" s="515"/>
      <c r="QGV22" s="515"/>
      <c r="QGW22" s="515"/>
      <c r="QGX22" s="515"/>
      <c r="QGY22" s="515"/>
      <c r="QGZ22" s="515"/>
      <c r="QHA22" s="515"/>
      <c r="QHB22" s="515"/>
      <c r="QHC22" s="515"/>
      <c r="QHD22" s="515"/>
      <c r="QHE22" s="515"/>
      <c r="QHF22" s="515"/>
      <c r="QHG22" s="515"/>
      <c r="QHH22" s="515"/>
      <c r="QHI22" s="515"/>
      <c r="QHJ22" s="515"/>
      <c r="QHK22" s="515"/>
      <c r="QHL22" s="515"/>
      <c r="QHM22" s="515"/>
      <c r="QHN22" s="515"/>
      <c r="QHO22" s="515"/>
      <c r="QHP22" s="515"/>
      <c r="QHQ22" s="515"/>
      <c r="QHR22" s="515"/>
      <c r="QHS22" s="515"/>
      <c r="QHT22" s="515"/>
      <c r="QHU22" s="515"/>
      <c r="QHV22" s="515"/>
      <c r="QHW22" s="515"/>
      <c r="QHX22" s="515"/>
      <c r="QHY22" s="515"/>
      <c r="QHZ22" s="515"/>
      <c r="QIA22" s="515"/>
      <c r="QIB22" s="515"/>
      <c r="QIC22" s="515"/>
      <c r="QID22" s="515"/>
      <c r="QIE22" s="515"/>
      <c r="QIF22" s="515"/>
      <c r="QIG22" s="515"/>
      <c r="QIH22" s="515"/>
      <c r="QII22" s="515"/>
      <c r="QIJ22" s="515"/>
      <c r="QIK22" s="515"/>
      <c r="QIL22" s="515"/>
      <c r="QIM22" s="515"/>
      <c r="QIN22" s="515"/>
      <c r="QIO22" s="515"/>
      <c r="QIP22" s="515"/>
      <c r="QIQ22" s="515"/>
      <c r="QIR22" s="515"/>
      <c r="QIS22" s="515"/>
      <c r="QIT22" s="515"/>
      <c r="QIU22" s="515"/>
      <c r="QIV22" s="515"/>
      <c r="QIW22" s="515"/>
      <c r="QIX22" s="515"/>
      <c r="QIY22" s="515"/>
      <c r="QIZ22" s="515"/>
      <c r="QJA22" s="515"/>
      <c r="QJB22" s="515"/>
      <c r="QJC22" s="515"/>
      <c r="QJD22" s="515"/>
      <c r="QJE22" s="515"/>
      <c r="QJF22" s="515"/>
      <c r="QJG22" s="515"/>
      <c r="QJH22" s="515"/>
      <c r="QJI22" s="515"/>
      <c r="QJJ22" s="515"/>
      <c r="QJK22" s="515"/>
      <c r="QJL22" s="515"/>
      <c r="QJM22" s="515"/>
      <c r="QJN22" s="515"/>
      <c r="QJO22" s="515"/>
      <c r="QJP22" s="515"/>
      <c r="QJQ22" s="515"/>
      <c r="QJR22" s="515"/>
      <c r="QJS22" s="515"/>
      <c r="QJT22" s="515"/>
      <c r="QJU22" s="515"/>
      <c r="QJV22" s="515"/>
      <c r="QJW22" s="515"/>
      <c r="QJX22" s="515"/>
      <c r="QJY22" s="515"/>
      <c r="QJZ22" s="515"/>
      <c r="QKA22" s="515"/>
      <c r="QKB22" s="515"/>
      <c r="QKC22" s="515"/>
      <c r="QKD22" s="515"/>
      <c r="QKE22" s="515"/>
      <c r="QKF22" s="515"/>
      <c r="QKG22" s="515"/>
      <c r="QKH22" s="515"/>
      <c r="QKI22" s="515"/>
      <c r="QKJ22" s="515"/>
      <c r="QKK22" s="515"/>
      <c r="QKL22" s="515"/>
      <c r="QKM22" s="515"/>
      <c r="QKN22" s="515"/>
      <c r="QKO22" s="515"/>
      <c r="QKP22" s="515"/>
      <c r="QKQ22" s="515"/>
      <c r="QKR22" s="515"/>
      <c r="QKS22" s="515"/>
      <c r="QKT22" s="515"/>
      <c r="QKU22" s="515"/>
      <c r="QKV22" s="515"/>
      <c r="QKW22" s="515"/>
      <c r="QKX22" s="515"/>
      <c r="QKY22" s="515"/>
      <c r="QKZ22" s="515"/>
      <c r="QLA22" s="515"/>
      <c r="QLB22" s="515"/>
      <c r="QLC22" s="515"/>
      <c r="QLD22" s="515"/>
      <c r="QLE22" s="515"/>
      <c r="QLF22" s="515"/>
      <c r="QLG22" s="515"/>
      <c r="QLH22" s="515"/>
      <c r="QLI22" s="515"/>
      <c r="QLJ22" s="515"/>
      <c r="QLK22" s="515"/>
      <c r="QLL22" s="515"/>
      <c r="QLM22" s="515"/>
      <c r="QLN22" s="515"/>
      <c r="QLO22" s="515"/>
      <c r="QLP22" s="515"/>
      <c r="QLQ22" s="515"/>
      <c r="QLR22" s="515"/>
      <c r="QLS22" s="515"/>
      <c r="QLT22" s="515"/>
      <c r="QLU22" s="515"/>
      <c r="QLV22" s="515"/>
      <c r="QLW22" s="515"/>
      <c r="QLX22" s="515"/>
      <c r="QLY22" s="515"/>
      <c r="QLZ22" s="515"/>
      <c r="QMA22" s="515"/>
      <c r="QMB22" s="515"/>
      <c r="QMC22" s="515"/>
      <c r="QMD22" s="515"/>
      <c r="QME22" s="515"/>
      <c r="QMF22" s="515"/>
      <c r="QMG22" s="515"/>
      <c r="QMH22" s="515"/>
      <c r="QMI22" s="515"/>
      <c r="QMJ22" s="515"/>
      <c r="QMK22" s="515"/>
      <c r="QML22" s="515"/>
      <c r="QMM22" s="515"/>
      <c r="QMN22" s="515"/>
      <c r="QMO22" s="515"/>
      <c r="QMP22" s="515"/>
      <c r="QMQ22" s="515"/>
      <c r="QMR22" s="515"/>
      <c r="QMS22" s="515"/>
      <c r="QMT22" s="515"/>
      <c r="QMU22" s="515"/>
      <c r="QMV22" s="515"/>
      <c r="QMW22" s="515"/>
      <c r="QMX22" s="515"/>
      <c r="QMY22" s="515"/>
      <c r="QMZ22" s="515"/>
      <c r="QNA22" s="515"/>
      <c r="QNB22" s="515"/>
      <c r="QNC22" s="515"/>
      <c r="QND22" s="515"/>
      <c r="QNE22" s="515"/>
      <c r="QNF22" s="515"/>
      <c r="QNG22" s="515"/>
      <c r="QNH22" s="515"/>
      <c r="QNI22" s="515"/>
      <c r="QNJ22" s="515"/>
      <c r="QNK22" s="515"/>
      <c r="QNL22" s="515"/>
      <c r="QNM22" s="515"/>
      <c r="QNN22" s="515"/>
      <c r="QNO22" s="515"/>
      <c r="QNP22" s="515"/>
      <c r="QNQ22" s="515"/>
      <c r="QNR22" s="515"/>
      <c r="QNS22" s="515"/>
      <c r="QNT22" s="515"/>
      <c r="QNU22" s="515"/>
      <c r="QNV22" s="515"/>
      <c r="QNW22" s="515"/>
      <c r="QNX22" s="515"/>
      <c r="QNY22" s="515"/>
      <c r="QNZ22" s="515"/>
      <c r="QOA22" s="515"/>
      <c r="QOB22" s="515"/>
      <c r="QOC22" s="515"/>
      <c r="QOD22" s="515"/>
      <c r="QOE22" s="515"/>
      <c r="QOF22" s="515"/>
      <c r="QOG22" s="515"/>
      <c r="QOH22" s="515"/>
      <c r="QOI22" s="515"/>
      <c r="QOJ22" s="515"/>
      <c r="QOK22" s="515"/>
      <c r="QOL22" s="515"/>
      <c r="QOM22" s="515"/>
      <c r="QON22" s="515"/>
      <c r="QOO22" s="515"/>
      <c r="QOP22" s="515"/>
      <c r="QOQ22" s="515"/>
      <c r="QOR22" s="515"/>
      <c r="QOS22" s="515"/>
      <c r="QOT22" s="515"/>
      <c r="QOU22" s="515"/>
      <c r="QOV22" s="515"/>
      <c r="QOW22" s="515"/>
      <c r="QOX22" s="515"/>
      <c r="QOY22" s="515"/>
      <c r="QOZ22" s="515"/>
      <c r="QPA22" s="515"/>
      <c r="QPB22" s="515"/>
      <c r="QPC22" s="515"/>
      <c r="QPD22" s="515"/>
      <c r="QPE22" s="515"/>
      <c r="QPF22" s="515"/>
      <c r="QPG22" s="515"/>
      <c r="QPH22" s="515"/>
      <c r="QPI22" s="515"/>
      <c r="QPJ22" s="515"/>
      <c r="QPK22" s="515"/>
      <c r="QPL22" s="515"/>
      <c r="QPM22" s="515"/>
      <c r="QPN22" s="515"/>
      <c r="QPO22" s="515"/>
      <c r="QPP22" s="515"/>
      <c r="QPQ22" s="515"/>
      <c r="QPR22" s="515"/>
      <c r="QPS22" s="515"/>
      <c r="QPT22" s="515"/>
      <c r="QPU22" s="515"/>
      <c r="QPV22" s="515"/>
      <c r="QPW22" s="515"/>
      <c r="QPX22" s="515"/>
      <c r="QPY22" s="515"/>
      <c r="QPZ22" s="515"/>
      <c r="QQA22" s="515"/>
      <c r="QQB22" s="515"/>
      <c r="QQC22" s="515"/>
      <c r="QQD22" s="515"/>
      <c r="QQE22" s="515"/>
      <c r="QQF22" s="515"/>
      <c r="QQG22" s="515"/>
      <c r="QQH22" s="515"/>
      <c r="QQI22" s="515"/>
      <c r="QQJ22" s="515"/>
      <c r="QQK22" s="515"/>
      <c r="QQL22" s="515"/>
      <c r="QQM22" s="515"/>
      <c r="QQN22" s="515"/>
      <c r="QQO22" s="515"/>
      <c r="QQP22" s="515"/>
      <c r="QQQ22" s="515"/>
      <c r="QQR22" s="515"/>
      <c r="QQS22" s="515"/>
      <c r="QQT22" s="515"/>
      <c r="QQU22" s="515"/>
      <c r="QQV22" s="515"/>
      <c r="QQW22" s="515"/>
      <c r="QQX22" s="515"/>
      <c r="QQY22" s="515"/>
      <c r="QQZ22" s="515"/>
      <c r="QRA22" s="515"/>
      <c r="QRB22" s="515"/>
      <c r="QRC22" s="515"/>
      <c r="QRD22" s="515"/>
      <c r="QRE22" s="515"/>
      <c r="QRF22" s="515"/>
      <c r="QRG22" s="515"/>
      <c r="QRH22" s="515"/>
      <c r="QRI22" s="515"/>
      <c r="QRJ22" s="515"/>
      <c r="QRK22" s="515"/>
      <c r="QRL22" s="515"/>
      <c r="QRM22" s="515"/>
      <c r="QRN22" s="515"/>
      <c r="QRO22" s="515"/>
      <c r="QRP22" s="515"/>
      <c r="QRQ22" s="515"/>
      <c r="QRR22" s="515"/>
      <c r="QRS22" s="515"/>
      <c r="QRT22" s="515"/>
      <c r="QRU22" s="515"/>
      <c r="QRV22" s="515"/>
      <c r="QRW22" s="515"/>
      <c r="QRX22" s="515"/>
      <c r="QRY22" s="515"/>
      <c r="QRZ22" s="515"/>
      <c r="QSA22" s="515"/>
      <c r="QSB22" s="515"/>
      <c r="QSC22" s="515"/>
      <c r="QSD22" s="515"/>
      <c r="QSE22" s="515"/>
      <c r="QSF22" s="515"/>
      <c r="QSG22" s="515"/>
      <c r="QSH22" s="515"/>
      <c r="QSI22" s="515"/>
      <c r="QSJ22" s="515"/>
      <c r="QSK22" s="515"/>
      <c r="QSL22" s="515"/>
      <c r="QSM22" s="515"/>
      <c r="QSN22" s="515"/>
      <c r="QSO22" s="515"/>
      <c r="QSP22" s="515"/>
      <c r="QSQ22" s="515"/>
      <c r="QSR22" s="515"/>
      <c r="QSS22" s="515"/>
      <c r="QST22" s="515"/>
      <c r="QSU22" s="515"/>
      <c r="QSV22" s="515"/>
      <c r="QSW22" s="515"/>
      <c r="QSX22" s="515"/>
      <c r="QSY22" s="515"/>
      <c r="QSZ22" s="515"/>
      <c r="QTA22" s="515"/>
      <c r="QTB22" s="515"/>
      <c r="QTC22" s="515"/>
      <c r="QTD22" s="515"/>
      <c r="QTE22" s="515"/>
      <c r="QTF22" s="515"/>
      <c r="QTG22" s="515"/>
      <c r="QTH22" s="515"/>
      <c r="QTI22" s="515"/>
      <c r="QTJ22" s="515"/>
      <c r="QTK22" s="515"/>
      <c r="QTL22" s="515"/>
      <c r="QTM22" s="515"/>
      <c r="QTN22" s="515"/>
      <c r="QTO22" s="515"/>
      <c r="QTP22" s="515"/>
      <c r="QTQ22" s="515"/>
      <c r="QTR22" s="515"/>
      <c r="QTS22" s="515"/>
      <c r="QTT22" s="515"/>
      <c r="QTU22" s="515"/>
      <c r="QTV22" s="515"/>
      <c r="QTW22" s="515"/>
      <c r="QTX22" s="515"/>
      <c r="QTY22" s="515"/>
      <c r="QTZ22" s="515"/>
      <c r="QUA22" s="515"/>
      <c r="QUB22" s="515"/>
      <c r="QUC22" s="515"/>
      <c r="QUD22" s="515"/>
      <c r="QUE22" s="515"/>
      <c r="QUF22" s="515"/>
      <c r="QUG22" s="515"/>
      <c r="QUH22" s="515"/>
      <c r="QUI22" s="515"/>
      <c r="QUJ22" s="515"/>
      <c r="QUK22" s="515"/>
      <c r="QUL22" s="515"/>
      <c r="QUM22" s="515"/>
      <c r="QUN22" s="515"/>
      <c r="QUO22" s="515"/>
      <c r="QUP22" s="515"/>
      <c r="QUQ22" s="515"/>
      <c r="QUR22" s="515"/>
      <c r="QUS22" s="515"/>
      <c r="QUT22" s="515"/>
      <c r="QUU22" s="515"/>
      <c r="QUV22" s="515"/>
      <c r="QUW22" s="515"/>
      <c r="QUX22" s="515"/>
      <c r="QUY22" s="515"/>
      <c r="QUZ22" s="515"/>
      <c r="QVA22" s="515"/>
      <c r="QVB22" s="515"/>
      <c r="QVC22" s="515"/>
      <c r="QVD22" s="515"/>
      <c r="QVE22" s="515"/>
      <c r="QVF22" s="515"/>
      <c r="QVG22" s="515"/>
      <c r="QVH22" s="515"/>
      <c r="QVI22" s="515"/>
      <c r="QVJ22" s="515"/>
      <c r="QVK22" s="515"/>
      <c r="QVL22" s="515"/>
      <c r="QVM22" s="515"/>
      <c r="QVN22" s="515"/>
      <c r="QVO22" s="515"/>
      <c r="QVP22" s="515"/>
      <c r="QVQ22" s="515"/>
      <c r="QVR22" s="515"/>
      <c r="QVS22" s="515"/>
      <c r="QVT22" s="515"/>
      <c r="QVU22" s="515"/>
      <c r="QVV22" s="515"/>
      <c r="QVW22" s="515"/>
      <c r="QVX22" s="515"/>
      <c r="QVY22" s="515"/>
      <c r="QVZ22" s="515"/>
      <c r="QWA22" s="515"/>
      <c r="QWB22" s="515"/>
      <c r="QWC22" s="515"/>
      <c r="QWD22" s="515"/>
      <c r="QWE22" s="515"/>
      <c r="QWF22" s="515"/>
      <c r="QWG22" s="515"/>
      <c r="QWH22" s="515"/>
      <c r="QWI22" s="515"/>
      <c r="QWJ22" s="515"/>
      <c r="QWK22" s="515"/>
      <c r="QWL22" s="515"/>
      <c r="QWM22" s="515"/>
      <c r="QWN22" s="515"/>
      <c r="QWO22" s="515"/>
      <c r="QWP22" s="515"/>
      <c r="QWQ22" s="515"/>
      <c r="QWR22" s="515"/>
      <c r="QWS22" s="515"/>
      <c r="QWT22" s="515"/>
      <c r="QWU22" s="515"/>
      <c r="QWV22" s="515"/>
      <c r="QWW22" s="515"/>
      <c r="QWX22" s="515"/>
      <c r="QWY22" s="515"/>
      <c r="QWZ22" s="515"/>
      <c r="QXA22" s="515"/>
      <c r="QXB22" s="515"/>
      <c r="QXC22" s="515"/>
      <c r="QXD22" s="515"/>
      <c r="QXE22" s="515"/>
      <c r="QXF22" s="515"/>
      <c r="QXG22" s="515"/>
      <c r="QXH22" s="515"/>
      <c r="QXI22" s="515"/>
      <c r="QXJ22" s="515"/>
      <c r="QXK22" s="515"/>
      <c r="QXL22" s="515"/>
      <c r="QXM22" s="515"/>
      <c r="QXN22" s="515"/>
      <c r="QXO22" s="515"/>
      <c r="QXP22" s="515"/>
      <c r="QXQ22" s="515"/>
      <c r="QXR22" s="515"/>
      <c r="QXS22" s="515"/>
      <c r="QXT22" s="515"/>
      <c r="QXU22" s="515"/>
      <c r="QXV22" s="515"/>
      <c r="QXW22" s="515"/>
      <c r="QXX22" s="515"/>
      <c r="QXY22" s="515"/>
      <c r="QXZ22" s="515"/>
      <c r="QYA22" s="515"/>
      <c r="QYB22" s="515"/>
      <c r="QYC22" s="515"/>
      <c r="QYD22" s="515"/>
      <c r="QYE22" s="515"/>
      <c r="QYF22" s="515"/>
      <c r="QYG22" s="515"/>
      <c r="QYH22" s="515"/>
      <c r="QYI22" s="515"/>
      <c r="QYJ22" s="515"/>
      <c r="QYK22" s="515"/>
      <c r="QYL22" s="515"/>
      <c r="QYM22" s="515"/>
      <c r="QYN22" s="515"/>
      <c r="QYO22" s="515"/>
      <c r="QYP22" s="515"/>
      <c r="QYQ22" s="515"/>
      <c r="QYR22" s="515"/>
      <c r="QYS22" s="515"/>
      <c r="QYT22" s="515"/>
      <c r="QYU22" s="515"/>
      <c r="QYV22" s="515"/>
      <c r="QYW22" s="515"/>
      <c r="QYX22" s="515"/>
      <c r="QYY22" s="515"/>
      <c r="QYZ22" s="515"/>
      <c r="QZA22" s="515"/>
      <c r="QZB22" s="515"/>
      <c r="QZC22" s="515"/>
      <c r="QZD22" s="515"/>
      <c r="QZE22" s="515"/>
      <c r="QZF22" s="515"/>
      <c r="QZG22" s="515"/>
      <c r="QZH22" s="515"/>
      <c r="QZI22" s="515"/>
      <c r="QZJ22" s="515"/>
      <c r="QZK22" s="515"/>
      <c r="QZL22" s="515"/>
      <c r="QZM22" s="515"/>
      <c r="QZN22" s="515"/>
      <c r="QZO22" s="515"/>
      <c r="QZP22" s="515"/>
      <c r="QZQ22" s="515"/>
      <c r="QZR22" s="515"/>
      <c r="QZS22" s="515"/>
      <c r="QZT22" s="515"/>
      <c r="QZU22" s="515"/>
      <c r="QZV22" s="515"/>
      <c r="QZW22" s="515"/>
      <c r="QZX22" s="515"/>
      <c r="QZY22" s="515"/>
      <c r="QZZ22" s="515"/>
      <c r="RAA22" s="515"/>
      <c r="RAB22" s="515"/>
      <c r="RAC22" s="515"/>
      <c r="RAD22" s="515"/>
      <c r="RAE22" s="515"/>
      <c r="RAF22" s="515"/>
      <c r="RAG22" s="515"/>
      <c r="RAH22" s="515"/>
      <c r="RAI22" s="515"/>
      <c r="RAJ22" s="515"/>
      <c r="RAK22" s="515"/>
      <c r="RAL22" s="515"/>
      <c r="RAM22" s="515"/>
      <c r="RAN22" s="515"/>
      <c r="RAO22" s="515"/>
      <c r="RAP22" s="515"/>
      <c r="RAQ22" s="515"/>
      <c r="RAR22" s="515"/>
      <c r="RAS22" s="515"/>
      <c r="RAT22" s="515"/>
      <c r="RAU22" s="515"/>
      <c r="RAV22" s="515"/>
      <c r="RAW22" s="515"/>
      <c r="RAX22" s="515"/>
      <c r="RAY22" s="515"/>
      <c r="RAZ22" s="515"/>
      <c r="RBA22" s="515"/>
      <c r="RBB22" s="515"/>
      <c r="RBC22" s="515"/>
      <c r="RBD22" s="515"/>
      <c r="RBE22" s="515"/>
      <c r="RBF22" s="515"/>
      <c r="RBG22" s="515"/>
      <c r="RBH22" s="515"/>
      <c r="RBI22" s="515"/>
      <c r="RBJ22" s="515"/>
      <c r="RBK22" s="515"/>
      <c r="RBL22" s="515"/>
      <c r="RBM22" s="515"/>
      <c r="RBN22" s="515"/>
      <c r="RBO22" s="515"/>
      <c r="RBP22" s="515"/>
      <c r="RBQ22" s="515"/>
      <c r="RBR22" s="515"/>
      <c r="RBS22" s="515"/>
      <c r="RBT22" s="515"/>
      <c r="RBU22" s="515"/>
      <c r="RBV22" s="515"/>
      <c r="RBW22" s="515"/>
      <c r="RBX22" s="515"/>
      <c r="RBY22" s="515"/>
      <c r="RBZ22" s="515"/>
      <c r="RCA22" s="515"/>
      <c r="RCB22" s="515"/>
      <c r="RCC22" s="515"/>
      <c r="RCD22" s="515"/>
      <c r="RCE22" s="515"/>
      <c r="RCF22" s="515"/>
      <c r="RCG22" s="515"/>
      <c r="RCH22" s="515"/>
      <c r="RCI22" s="515"/>
      <c r="RCJ22" s="515"/>
      <c r="RCK22" s="515"/>
      <c r="RCL22" s="515"/>
      <c r="RCM22" s="515"/>
      <c r="RCN22" s="515"/>
      <c r="RCO22" s="515"/>
      <c r="RCP22" s="515"/>
      <c r="RCQ22" s="515"/>
      <c r="RCR22" s="515"/>
      <c r="RCS22" s="515"/>
      <c r="RCT22" s="515"/>
      <c r="RCU22" s="515"/>
      <c r="RCV22" s="515"/>
      <c r="RCW22" s="515"/>
      <c r="RCX22" s="515"/>
      <c r="RCY22" s="515"/>
      <c r="RCZ22" s="515"/>
      <c r="RDA22" s="515"/>
      <c r="RDB22" s="515"/>
      <c r="RDC22" s="515"/>
      <c r="RDD22" s="515"/>
      <c r="RDE22" s="515"/>
      <c r="RDF22" s="515"/>
      <c r="RDG22" s="515"/>
      <c r="RDH22" s="515"/>
      <c r="RDI22" s="515"/>
      <c r="RDJ22" s="515"/>
      <c r="RDK22" s="515"/>
      <c r="RDL22" s="515"/>
      <c r="RDM22" s="515"/>
      <c r="RDN22" s="515"/>
      <c r="RDO22" s="515"/>
      <c r="RDP22" s="515"/>
      <c r="RDQ22" s="515"/>
      <c r="RDR22" s="515"/>
      <c r="RDS22" s="515"/>
      <c r="RDT22" s="515"/>
      <c r="RDU22" s="515"/>
      <c r="RDV22" s="515"/>
      <c r="RDW22" s="515"/>
      <c r="RDX22" s="515"/>
      <c r="RDY22" s="515"/>
      <c r="RDZ22" s="515"/>
      <c r="REA22" s="515"/>
      <c r="REB22" s="515"/>
      <c r="REC22" s="515"/>
      <c r="RED22" s="515"/>
      <c r="REE22" s="515"/>
      <c r="REF22" s="515"/>
      <c r="REG22" s="515"/>
      <c r="REH22" s="515"/>
      <c r="REI22" s="515"/>
      <c r="REJ22" s="515"/>
      <c r="REK22" s="515"/>
      <c r="REL22" s="515"/>
      <c r="REM22" s="515"/>
      <c r="REN22" s="515"/>
      <c r="REO22" s="515"/>
      <c r="REP22" s="515"/>
      <c r="REQ22" s="515"/>
      <c r="RER22" s="515"/>
      <c r="RES22" s="515"/>
      <c r="RET22" s="515"/>
      <c r="REU22" s="515"/>
      <c r="REV22" s="515"/>
      <c r="REW22" s="515"/>
      <c r="REX22" s="515"/>
      <c r="REY22" s="515"/>
      <c r="REZ22" s="515"/>
      <c r="RFA22" s="515"/>
      <c r="RFB22" s="515"/>
      <c r="RFC22" s="515"/>
      <c r="RFD22" s="515"/>
      <c r="RFE22" s="515"/>
      <c r="RFF22" s="515"/>
      <c r="RFG22" s="515"/>
      <c r="RFH22" s="515"/>
      <c r="RFI22" s="515"/>
      <c r="RFJ22" s="515"/>
      <c r="RFK22" s="515"/>
      <c r="RFL22" s="515"/>
      <c r="RFM22" s="515"/>
      <c r="RFN22" s="515"/>
      <c r="RFO22" s="515"/>
      <c r="RFP22" s="515"/>
      <c r="RFQ22" s="515"/>
      <c r="RFR22" s="515"/>
      <c r="RFS22" s="515"/>
      <c r="RFT22" s="515"/>
      <c r="RFU22" s="515"/>
      <c r="RFV22" s="515"/>
      <c r="RFW22" s="515"/>
      <c r="RFX22" s="515"/>
      <c r="RFY22" s="515"/>
      <c r="RFZ22" s="515"/>
      <c r="RGA22" s="515"/>
      <c r="RGB22" s="515"/>
      <c r="RGC22" s="515"/>
      <c r="RGD22" s="515"/>
      <c r="RGE22" s="515"/>
      <c r="RGF22" s="515"/>
      <c r="RGG22" s="515"/>
      <c r="RGH22" s="515"/>
      <c r="RGI22" s="515"/>
      <c r="RGJ22" s="515"/>
      <c r="RGK22" s="515"/>
      <c r="RGL22" s="515"/>
      <c r="RGM22" s="515"/>
      <c r="RGN22" s="515"/>
      <c r="RGO22" s="515"/>
      <c r="RGP22" s="515"/>
      <c r="RGQ22" s="515"/>
      <c r="RGR22" s="515"/>
      <c r="RGS22" s="515"/>
      <c r="RGT22" s="515"/>
      <c r="RGU22" s="515"/>
      <c r="RGV22" s="515"/>
      <c r="RGW22" s="515"/>
      <c r="RGX22" s="515"/>
      <c r="RGY22" s="515"/>
      <c r="RGZ22" s="515"/>
      <c r="RHA22" s="515"/>
      <c r="RHB22" s="515"/>
      <c r="RHC22" s="515"/>
      <c r="RHD22" s="515"/>
      <c r="RHE22" s="515"/>
      <c r="RHF22" s="515"/>
      <c r="RHG22" s="515"/>
      <c r="RHH22" s="515"/>
      <c r="RHI22" s="515"/>
      <c r="RHJ22" s="515"/>
      <c r="RHK22" s="515"/>
      <c r="RHL22" s="515"/>
      <c r="RHM22" s="515"/>
      <c r="RHN22" s="515"/>
      <c r="RHO22" s="515"/>
      <c r="RHP22" s="515"/>
      <c r="RHQ22" s="515"/>
      <c r="RHR22" s="515"/>
      <c r="RHS22" s="515"/>
      <c r="RHT22" s="515"/>
      <c r="RHU22" s="515"/>
      <c r="RHV22" s="515"/>
      <c r="RHW22" s="515"/>
      <c r="RHX22" s="515"/>
      <c r="RHY22" s="515"/>
      <c r="RHZ22" s="515"/>
      <c r="RIA22" s="515"/>
      <c r="RIB22" s="515"/>
      <c r="RIC22" s="515"/>
      <c r="RID22" s="515"/>
      <c r="RIE22" s="515"/>
      <c r="RIF22" s="515"/>
      <c r="RIG22" s="515"/>
      <c r="RIH22" s="515"/>
      <c r="RII22" s="515"/>
      <c r="RIJ22" s="515"/>
      <c r="RIK22" s="515"/>
      <c r="RIL22" s="515"/>
      <c r="RIM22" s="515"/>
      <c r="RIN22" s="515"/>
      <c r="RIO22" s="515"/>
      <c r="RIP22" s="515"/>
      <c r="RIQ22" s="515"/>
      <c r="RIR22" s="515"/>
      <c r="RIS22" s="515"/>
      <c r="RIT22" s="515"/>
      <c r="RIU22" s="515"/>
      <c r="RIV22" s="515"/>
      <c r="RIW22" s="515"/>
      <c r="RIX22" s="515"/>
      <c r="RIY22" s="515"/>
      <c r="RIZ22" s="515"/>
      <c r="RJA22" s="515"/>
      <c r="RJB22" s="515"/>
      <c r="RJC22" s="515"/>
      <c r="RJD22" s="515"/>
      <c r="RJE22" s="515"/>
      <c r="RJF22" s="515"/>
      <c r="RJG22" s="515"/>
      <c r="RJH22" s="515"/>
      <c r="RJI22" s="515"/>
      <c r="RJJ22" s="515"/>
      <c r="RJK22" s="515"/>
      <c r="RJL22" s="515"/>
      <c r="RJM22" s="515"/>
      <c r="RJN22" s="515"/>
      <c r="RJO22" s="515"/>
      <c r="RJP22" s="515"/>
      <c r="RJQ22" s="515"/>
      <c r="RJR22" s="515"/>
      <c r="RJS22" s="515"/>
      <c r="RJT22" s="515"/>
      <c r="RJU22" s="515"/>
      <c r="RJV22" s="515"/>
      <c r="RJW22" s="515"/>
      <c r="RJX22" s="515"/>
      <c r="RJY22" s="515"/>
      <c r="RJZ22" s="515"/>
      <c r="RKA22" s="515"/>
      <c r="RKB22" s="515"/>
      <c r="RKC22" s="515"/>
      <c r="RKD22" s="515"/>
      <c r="RKE22" s="515"/>
      <c r="RKF22" s="515"/>
      <c r="RKG22" s="515"/>
      <c r="RKH22" s="515"/>
      <c r="RKI22" s="515"/>
      <c r="RKJ22" s="515"/>
      <c r="RKK22" s="515"/>
      <c r="RKL22" s="515"/>
      <c r="RKM22" s="515"/>
      <c r="RKN22" s="515"/>
      <c r="RKO22" s="515"/>
      <c r="RKP22" s="515"/>
      <c r="RKQ22" s="515"/>
      <c r="RKR22" s="515"/>
      <c r="RKS22" s="515"/>
      <c r="RKT22" s="515"/>
      <c r="RKU22" s="515"/>
      <c r="RKV22" s="515"/>
      <c r="RKW22" s="515"/>
      <c r="RKX22" s="515"/>
      <c r="RKY22" s="515"/>
      <c r="RKZ22" s="515"/>
      <c r="RLA22" s="515"/>
      <c r="RLB22" s="515"/>
      <c r="RLC22" s="515"/>
      <c r="RLD22" s="515"/>
      <c r="RLE22" s="515"/>
      <c r="RLF22" s="515"/>
      <c r="RLG22" s="515"/>
      <c r="RLH22" s="515"/>
      <c r="RLI22" s="515"/>
      <c r="RLJ22" s="515"/>
      <c r="RLK22" s="515"/>
      <c r="RLL22" s="515"/>
      <c r="RLM22" s="515"/>
      <c r="RLN22" s="515"/>
      <c r="RLO22" s="515"/>
      <c r="RLP22" s="515"/>
      <c r="RLQ22" s="515"/>
      <c r="RLR22" s="515"/>
      <c r="RLS22" s="515"/>
      <c r="RLT22" s="515"/>
      <c r="RLU22" s="515"/>
      <c r="RLV22" s="515"/>
      <c r="RLW22" s="515"/>
      <c r="RLX22" s="515"/>
      <c r="RLY22" s="515"/>
      <c r="RLZ22" s="515"/>
      <c r="RMA22" s="515"/>
      <c r="RMB22" s="515"/>
      <c r="RMC22" s="515"/>
      <c r="RMD22" s="515"/>
      <c r="RME22" s="515"/>
      <c r="RMF22" s="515"/>
      <c r="RMG22" s="515"/>
      <c r="RMH22" s="515"/>
      <c r="RMI22" s="515"/>
      <c r="RMJ22" s="515"/>
      <c r="RMK22" s="515"/>
      <c r="RML22" s="515"/>
      <c r="RMM22" s="515"/>
      <c r="RMN22" s="515"/>
      <c r="RMO22" s="515"/>
      <c r="RMP22" s="515"/>
      <c r="RMQ22" s="515"/>
      <c r="RMR22" s="515"/>
      <c r="RMS22" s="515"/>
      <c r="RMT22" s="515"/>
      <c r="RMU22" s="515"/>
      <c r="RMV22" s="515"/>
      <c r="RMW22" s="515"/>
      <c r="RMX22" s="515"/>
      <c r="RMY22" s="515"/>
      <c r="RMZ22" s="515"/>
      <c r="RNA22" s="515"/>
      <c r="RNB22" s="515"/>
      <c r="RNC22" s="515"/>
      <c r="RND22" s="515"/>
      <c r="RNE22" s="515"/>
      <c r="RNF22" s="515"/>
      <c r="RNG22" s="515"/>
      <c r="RNH22" s="515"/>
      <c r="RNI22" s="515"/>
      <c r="RNJ22" s="515"/>
      <c r="RNK22" s="515"/>
      <c r="RNL22" s="515"/>
      <c r="RNM22" s="515"/>
      <c r="RNN22" s="515"/>
      <c r="RNO22" s="515"/>
      <c r="RNP22" s="515"/>
      <c r="RNQ22" s="515"/>
      <c r="RNR22" s="515"/>
      <c r="RNS22" s="515"/>
      <c r="RNT22" s="515"/>
      <c r="RNU22" s="515"/>
      <c r="RNV22" s="515"/>
      <c r="RNW22" s="515"/>
      <c r="RNX22" s="515"/>
      <c r="RNY22" s="515"/>
      <c r="RNZ22" s="515"/>
      <c r="ROA22" s="515"/>
      <c r="ROB22" s="515"/>
      <c r="ROC22" s="515"/>
      <c r="ROD22" s="515"/>
      <c r="ROE22" s="515"/>
      <c r="ROF22" s="515"/>
      <c r="ROG22" s="515"/>
      <c r="ROH22" s="515"/>
      <c r="ROI22" s="515"/>
      <c r="ROJ22" s="515"/>
      <c r="ROK22" s="515"/>
      <c r="ROL22" s="515"/>
      <c r="ROM22" s="515"/>
      <c r="RON22" s="515"/>
      <c r="ROO22" s="515"/>
      <c r="ROP22" s="515"/>
      <c r="ROQ22" s="515"/>
      <c r="ROR22" s="515"/>
      <c r="ROS22" s="515"/>
      <c r="ROT22" s="515"/>
      <c r="ROU22" s="515"/>
      <c r="ROV22" s="515"/>
      <c r="ROW22" s="515"/>
      <c r="ROX22" s="515"/>
      <c r="ROY22" s="515"/>
      <c r="ROZ22" s="515"/>
      <c r="RPA22" s="515"/>
      <c r="RPB22" s="515"/>
      <c r="RPC22" s="515"/>
      <c r="RPD22" s="515"/>
      <c r="RPE22" s="515"/>
      <c r="RPF22" s="515"/>
      <c r="RPG22" s="515"/>
      <c r="RPH22" s="515"/>
      <c r="RPI22" s="515"/>
      <c r="RPJ22" s="515"/>
      <c r="RPK22" s="515"/>
      <c r="RPL22" s="515"/>
      <c r="RPM22" s="515"/>
      <c r="RPN22" s="515"/>
      <c r="RPO22" s="515"/>
      <c r="RPP22" s="515"/>
      <c r="RPQ22" s="515"/>
      <c r="RPR22" s="515"/>
      <c r="RPS22" s="515"/>
      <c r="RPT22" s="515"/>
      <c r="RPU22" s="515"/>
      <c r="RPV22" s="515"/>
      <c r="RPW22" s="515"/>
      <c r="RPX22" s="515"/>
      <c r="RPY22" s="515"/>
      <c r="RPZ22" s="515"/>
      <c r="RQA22" s="515"/>
      <c r="RQB22" s="515"/>
      <c r="RQC22" s="515"/>
      <c r="RQD22" s="515"/>
      <c r="RQE22" s="515"/>
      <c r="RQF22" s="515"/>
      <c r="RQG22" s="515"/>
      <c r="RQH22" s="515"/>
      <c r="RQI22" s="515"/>
      <c r="RQJ22" s="515"/>
      <c r="RQK22" s="515"/>
      <c r="RQL22" s="515"/>
      <c r="RQM22" s="515"/>
      <c r="RQN22" s="515"/>
      <c r="RQO22" s="515"/>
      <c r="RQP22" s="515"/>
      <c r="RQQ22" s="515"/>
      <c r="RQR22" s="515"/>
      <c r="RQS22" s="515"/>
      <c r="RQT22" s="515"/>
      <c r="RQU22" s="515"/>
      <c r="RQV22" s="515"/>
      <c r="RQW22" s="515"/>
      <c r="RQX22" s="515"/>
      <c r="RQY22" s="515"/>
      <c r="RQZ22" s="515"/>
      <c r="RRA22" s="515"/>
      <c r="RRB22" s="515"/>
      <c r="RRC22" s="515"/>
      <c r="RRD22" s="515"/>
      <c r="RRE22" s="515"/>
      <c r="RRF22" s="515"/>
      <c r="RRG22" s="515"/>
      <c r="RRH22" s="515"/>
      <c r="RRI22" s="515"/>
      <c r="RRJ22" s="515"/>
      <c r="RRK22" s="515"/>
      <c r="RRL22" s="515"/>
      <c r="RRM22" s="515"/>
      <c r="RRN22" s="515"/>
      <c r="RRO22" s="515"/>
      <c r="RRP22" s="515"/>
      <c r="RRQ22" s="515"/>
      <c r="RRR22" s="515"/>
      <c r="RRS22" s="515"/>
      <c r="RRT22" s="515"/>
      <c r="RRU22" s="515"/>
      <c r="RRV22" s="515"/>
      <c r="RRW22" s="515"/>
      <c r="RRX22" s="515"/>
      <c r="RRY22" s="515"/>
      <c r="RRZ22" s="515"/>
      <c r="RSA22" s="515"/>
      <c r="RSB22" s="515"/>
      <c r="RSC22" s="515"/>
      <c r="RSD22" s="515"/>
      <c r="RSE22" s="515"/>
      <c r="RSF22" s="515"/>
      <c r="RSG22" s="515"/>
      <c r="RSH22" s="515"/>
      <c r="RSI22" s="515"/>
      <c r="RSJ22" s="515"/>
      <c r="RSK22" s="515"/>
      <c r="RSL22" s="515"/>
      <c r="RSM22" s="515"/>
      <c r="RSN22" s="515"/>
      <c r="RSO22" s="515"/>
      <c r="RSP22" s="515"/>
      <c r="RSQ22" s="515"/>
      <c r="RSR22" s="515"/>
      <c r="RSS22" s="515"/>
      <c r="RST22" s="515"/>
      <c r="RSU22" s="515"/>
      <c r="RSV22" s="515"/>
      <c r="RSW22" s="515"/>
      <c r="RSX22" s="515"/>
      <c r="RSY22" s="515"/>
      <c r="RSZ22" s="515"/>
      <c r="RTA22" s="515"/>
      <c r="RTB22" s="515"/>
      <c r="RTC22" s="515"/>
      <c r="RTD22" s="515"/>
      <c r="RTE22" s="515"/>
      <c r="RTF22" s="515"/>
      <c r="RTG22" s="515"/>
      <c r="RTH22" s="515"/>
      <c r="RTI22" s="515"/>
      <c r="RTJ22" s="515"/>
      <c r="RTK22" s="515"/>
      <c r="RTL22" s="515"/>
      <c r="RTM22" s="515"/>
      <c r="RTN22" s="515"/>
      <c r="RTO22" s="515"/>
      <c r="RTP22" s="515"/>
      <c r="RTQ22" s="515"/>
      <c r="RTR22" s="515"/>
      <c r="RTS22" s="515"/>
      <c r="RTT22" s="515"/>
      <c r="RTU22" s="515"/>
      <c r="RTV22" s="515"/>
      <c r="RTW22" s="515"/>
      <c r="RTX22" s="515"/>
      <c r="RTY22" s="515"/>
      <c r="RTZ22" s="515"/>
      <c r="RUA22" s="515"/>
      <c r="RUB22" s="515"/>
      <c r="RUC22" s="515"/>
      <c r="RUD22" s="515"/>
      <c r="RUE22" s="515"/>
      <c r="RUF22" s="515"/>
      <c r="RUG22" s="515"/>
      <c r="RUH22" s="515"/>
      <c r="RUI22" s="515"/>
      <c r="RUJ22" s="515"/>
      <c r="RUK22" s="515"/>
      <c r="RUL22" s="515"/>
      <c r="RUM22" s="515"/>
      <c r="RUN22" s="515"/>
      <c r="RUO22" s="515"/>
      <c r="RUP22" s="515"/>
      <c r="RUQ22" s="515"/>
      <c r="RUR22" s="515"/>
      <c r="RUS22" s="515"/>
      <c r="RUT22" s="515"/>
      <c r="RUU22" s="515"/>
      <c r="RUV22" s="515"/>
      <c r="RUW22" s="515"/>
      <c r="RUX22" s="515"/>
      <c r="RUY22" s="515"/>
      <c r="RUZ22" s="515"/>
      <c r="RVA22" s="515"/>
      <c r="RVB22" s="515"/>
      <c r="RVC22" s="515"/>
      <c r="RVD22" s="515"/>
      <c r="RVE22" s="515"/>
      <c r="RVF22" s="515"/>
      <c r="RVG22" s="515"/>
      <c r="RVH22" s="515"/>
      <c r="RVI22" s="515"/>
      <c r="RVJ22" s="515"/>
      <c r="RVK22" s="515"/>
      <c r="RVL22" s="515"/>
      <c r="RVM22" s="515"/>
      <c r="RVN22" s="515"/>
      <c r="RVO22" s="515"/>
      <c r="RVP22" s="515"/>
      <c r="RVQ22" s="515"/>
      <c r="RVR22" s="515"/>
      <c r="RVS22" s="515"/>
      <c r="RVT22" s="515"/>
      <c r="RVU22" s="515"/>
      <c r="RVV22" s="515"/>
      <c r="RVW22" s="515"/>
      <c r="RVX22" s="515"/>
      <c r="RVY22" s="515"/>
      <c r="RVZ22" s="515"/>
      <c r="RWA22" s="515"/>
      <c r="RWB22" s="515"/>
      <c r="RWC22" s="515"/>
      <c r="RWD22" s="515"/>
      <c r="RWE22" s="515"/>
      <c r="RWF22" s="515"/>
      <c r="RWG22" s="515"/>
      <c r="RWH22" s="515"/>
      <c r="RWI22" s="515"/>
      <c r="RWJ22" s="515"/>
      <c r="RWK22" s="515"/>
      <c r="RWL22" s="515"/>
      <c r="RWM22" s="515"/>
      <c r="RWN22" s="515"/>
      <c r="RWO22" s="515"/>
      <c r="RWP22" s="515"/>
      <c r="RWQ22" s="515"/>
      <c r="RWR22" s="515"/>
      <c r="RWS22" s="515"/>
      <c r="RWT22" s="515"/>
      <c r="RWU22" s="515"/>
      <c r="RWV22" s="515"/>
      <c r="RWW22" s="515"/>
      <c r="RWX22" s="515"/>
      <c r="RWY22" s="515"/>
      <c r="RWZ22" s="515"/>
      <c r="RXA22" s="515"/>
      <c r="RXB22" s="515"/>
      <c r="RXC22" s="515"/>
      <c r="RXD22" s="515"/>
      <c r="RXE22" s="515"/>
      <c r="RXF22" s="515"/>
      <c r="RXG22" s="515"/>
      <c r="RXH22" s="515"/>
      <c r="RXI22" s="515"/>
      <c r="RXJ22" s="515"/>
      <c r="RXK22" s="515"/>
      <c r="RXL22" s="515"/>
      <c r="RXM22" s="515"/>
      <c r="RXN22" s="515"/>
      <c r="RXO22" s="515"/>
      <c r="RXP22" s="515"/>
      <c r="RXQ22" s="515"/>
      <c r="RXR22" s="515"/>
      <c r="RXS22" s="515"/>
      <c r="RXT22" s="515"/>
      <c r="RXU22" s="515"/>
      <c r="RXV22" s="515"/>
      <c r="RXW22" s="515"/>
      <c r="RXX22" s="515"/>
      <c r="RXY22" s="515"/>
      <c r="RXZ22" s="515"/>
      <c r="RYA22" s="515"/>
      <c r="RYB22" s="515"/>
      <c r="RYC22" s="515"/>
      <c r="RYD22" s="515"/>
      <c r="RYE22" s="515"/>
      <c r="RYF22" s="515"/>
      <c r="RYG22" s="515"/>
      <c r="RYH22" s="515"/>
      <c r="RYI22" s="515"/>
      <c r="RYJ22" s="515"/>
      <c r="RYK22" s="515"/>
      <c r="RYL22" s="515"/>
      <c r="RYM22" s="515"/>
      <c r="RYN22" s="515"/>
      <c r="RYO22" s="515"/>
      <c r="RYP22" s="515"/>
      <c r="RYQ22" s="515"/>
      <c r="RYR22" s="515"/>
      <c r="RYS22" s="515"/>
      <c r="RYT22" s="515"/>
      <c r="RYU22" s="515"/>
      <c r="RYV22" s="515"/>
      <c r="RYW22" s="515"/>
      <c r="RYX22" s="515"/>
      <c r="RYY22" s="515"/>
      <c r="RYZ22" s="515"/>
      <c r="RZA22" s="515"/>
      <c r="RZB22" s="515"/>
      <c r="RZC22" s="515"/>
      <c r="RZD22" s="515"/>
      <c r="RZE22" s="515"/>
      <c r="RZF22" s="515"/>
      <c r="RZG22" s="515"/>
      <c r="RZH22" s="515"/>
      <c r="RZI22" s="515"/>
      <c r="RZJ22" s="515"/>
      <c r="RZK22" s="515"/>
      <c r="RZL22" s="515"/>
      <c r="RZM22" s="515"/>
      <c r="RZN22" s="515"/>
      <c r="RZO22" s="515"/>
      <c r="RZP22" s="515"/>
      <c r="RZQ22" s="515"/>
      <c r="RZR22" s="515"/>
      <c r="RZS22" s="515"/>
      <c r="RZT22" s="515"/>
      <c r="RZU22" s="515"/>
      <c r="RZV22" s="515"/>
      <c r="RZW22" s="515"/>
      <c r="RZX22" s="515"/>
      <c r="RZY22" s="515"/>
      <c r="RZZ22" s="515"/>
      <c r="SAA22" s="515"/>
      <c r="SAB22" s="515"/>
      <c r="SAC22" s="515"/>
      <c r="SAD22" s="515"/>
      <c r="SAE22" s="515"/>
      <c r="SAF22" s="515"/>
      <c r="SAG22" s="515"/>
      <c r="SAH22" s="515"/>
      <c r="SAI22" s="515"/>
      <c r="SAJ22" s="515"/>
      <c r="SAK22" s="515"/>
      <c r="SAL22" s="515"/>
      <c r="SAM22" s="515"/>
      <c r="SAN22" s="515"/>
      <c r="SAO22" s="515"/>
      <c r="SAP22" s="515"/>
      <c r="SAQ22" s="515"/>
      <c r="SAR22" s="515"/>
      <c r="SAS22" s="515"/>
      <c r="SAT22" s="515"/>
      <c r="SAU22" s="515"/>
      <c r="SAV22" s="515"/>
      <c r="SAW22" s="515"/>
      <c r="SAX22" s="515"/>
      <c r="SAY22" s="515"/>
      <c r="SAZ22" s="515"/>
      <c r="SBA22" s="515"/>
      <c r="SBB22" s="515"/>
      <c r="SBC22" s="515"/>
      <c r="SBD22" s="515"/>
      <c r="SBE22" s="515"/>
      <c r="SBF22" s="515"/>
      <c r="SBG22" s="515"/>
      <c r="SBH22" s="515"/>
      <c r="SBI22" s="515"/>
      <c r="SBJ22" s="515"/>
      <c r="SBK22" s="515"/>
      <c r="SBL22" s="515"/>
      <c r="SBM22" s="515"/>
      <c r="SBN22" s="515"/>
      <c r="SBO22" s="515"/>
      <c r="SBP22" s="515"/>
      <c r="SBQ22" s="515"/>
      <c r="SBR22" s="515"/>
      <c r="SBS22" s="515"/>
      <c r="SBT22" s="515"/>
      <c r="SBU22" s="515"/>
      <c r="SBV22" s="515"/>
      <c r="SBW22" s="515"/>
      <c r="SBX22" s="515"/>
      <c r="SBY22" s="515"/>
      <c r="SBZ22" s="515"/>
      <c r="SCA22" s="515"/>
      <c r="SCB22" s="515"/>
      <c r="SCC22" s="515"/>
      <c r="SCD22" s="515"/>
      <c r="SCE22" s="515"/>
      <c r="SCF22" s="515"/>
      <c r="SCG22" s="515"/>
      <c r="SCH22" s="515"/>
      <c r="SCI22" s="515"/>
      <c r="SCJ22" s="515"/>
      <c r="SCK22" s="515"/>
      <c r="SCL22" s="515"/>
      <c r="SCM22" s="515"/>
      <c r="SCN22" s="515"/>
      <c r="SCO22" s="515"/>
      <c r="SCP22" s="515"/>
      <c r="SCQ22" s="515"/>
      <c r="SCR22" s="515"/>
      <c r="SCS22" s="515"/>
      <c r="SCT22" s="515"/>
      <c r="SCU22" s="515"/>
      <c r="SCV22" s="515"/>
      <c r="SCW22" s="515"/>
      <c r="SCX22" s="515"/>
      <c r="SCY22" s="515"/>
      <c r="SCZ22" s="515"/>
      <c r="SDA22" s="515"/>
      <c r="SDB22" s="515"/>
      <c r="SDC22" s="515"/>
      <c r="SDD22" s="515"/>
      <c r="SDE22" s="515"/>
      <c r="SDF22" s="515"/>
      <c r="SDG22" s="515"/>
      <c r="SDH22" s="515"/>
      <c r="SDI22" s="515"/>
      <c r="SDJ22" s="515"/>
      <c r="SDK22" s="515"/>
      <c r="SDL22" s="515"/>
      <c r="SDM22" s="515"/>
      <c r="SDN22" s="515"/>
      <c r="SDO22" s="515"/>
      <c r="SDP22" s="515"/>
      <c r="SDQ22" s="515"/>
      <c r="SDR22" s="515"/>
      <c r="SDS22" s="515"/>
      <c r="SDT22" s="515"/>
      <c r="SDU22" s="515"/>
      <c r="SDV22" s="515"/>
      <c r="SDW22" s="515"/>
      <c r="SDX22" s="515"/>
      <c r="SDY22" s="515"/>
      <c r="SDZ22" s="515"/>
      <c r="SEA22" s="515"/>
      <c r="SEB22" s="515"/>
      <c r="SEC22" s="515"/>
      <c r="SED22" s="515"/>
      <c r="SEE22" s="515"/>
      <c r="SEF22" s="515"/>
      <c r="SEG22" s="515"/>
      <c r="SEH22" s="515"/>
      <c r="SEI22" s="515"/>
      <c r="SEJ22" s="515"/>
      <c r="SEK22" s="515"/>
      <c r="SEL22" s="515"/>
      <c r="SEM22" s="515"/>
      <c r="SEN22" s="515"/>
      <c r="SEO22" s="515"/>
      <c r="SEP22" s="515"/>
      <c r="SEQ22" s="515"/>
      <c r="SER22" s="515"/>
      <c r="SES22" s="515"/>
      <c r="SET22" s="515"/>
      <c r="SEU22" s="515"/>
      <c r="SEV22" s="515"/>
      <c r="SEW22" s="515"/>
      <c r="SEX22" s="515"/>
      <c r="SEY22" s="515"/>
      <c r="SEZ22" s="515"/>
      <c r="SFA22" s="515"/>
      <c r="SFB22" s="515"/>
      <c r="SFC22" s="515"/>
      <c r="SFD22" s="515"/>
      <c r="SFE22" s="515"/>
      <c r="SFF22" s="515"/>
      <c r="SFG22" s="515"/>
      <c r="SFH22" s="515"/>
      <c r="SFI22" s="515"/>
      <c r="SFJ22" s="515"/>
      <c r="SFK22" s="515"/>
      <c r="SFL22" s="515"/>
      <c r="SFM22" s="515"/>
      <c r="SFN22" s="515"/>
      <c r="SFO22" s="515"/>
      <c r="SFP22" s="515"/>
      <c r="SFQ22" s="515"/>
      <c r="SFR22" s="515"/>
      <c r="SFS22" s="515"/>
      <c r="SFT22" s="515"/>
      <c r="SFU22" s="515"/>
      <c r="SFV22" s="515"/>
      <c r="SFW22" s="515"/>
      <c r="SFX22" s="515"/>
      <c r="SFY22" s="515"/>
      <c r="SFZ22" s="515"/>
      <c r="SGA22" s="515"/>
      <c r="SGB22" s="515"/>
      <c r="SGC22" s="515"/>
      <c r="SGD22" s="515"/>
      <c r="SGE22" s="515"/>
      <c r="SGF22" s="515"/>
      <c r="SGG22" s="515"/>
      <c r="SGH22" s="515"/>
      <c r="SGI22" s="515"/>
      <c r="SGJ22" s="515"/>
      <c r="SGK22" s="515"/>
      <c r="SGL22" s="515"/>
      <c r="SGM22" s="515"/>
      <c r="SGN22" s="515"/>
      <c r="SGO22" s="515"/>
      <c r="SGP22" s="515"/>
      <c r="SGQ22" s="515"/>
      <c r="SGR22" s="515"/>
      <c r="SGS22" s="515"/>
      <c r="SGT22" s="515"/>
      <c r="SGU22" s="515"/>
      <c r="SGV22" s="515"/>
      <c r="SGW22" s="515"/>
      <c r="SGX22" s="515"/>
      <c r="SGY22" s="515"/>
      <c r="SGZ22" s="515"/>
      <c r="SHA22" s="515"/>
      <c r="SHB22" s="515"/>
      <c r="SHC22" s="515"/>
      <c r="SHD22" s="515"/>
      <c r="SHE22" s="515"/>
      <c r="SHF22" s="515"/>
      <c r="SHG22" s="515"/>
      <c r="SHH22" s="515"/>
      <c r="SHI22" s="515"/>
      <c r="SHJ22" s="515"/>
      <c r="SHK22" s="515"/>
      <c r="SHL22" s="515"/>
      <c r="SHM22" s="515"/>
      <c r="SHN22" s="515"/>
      <c r="SHO22" s="515"/>
      <c r="SHP22" s="515"/>
      <c r="SHQ22" s="515"/>
      <c r="SHR22" s="515"/>
      <c r="SHS22" s="515"/>
      <c r="SHT22" s="515"/>
      <c r="SHU22" s="515"/>
      <c r="SHV22" s="515"/>
      <c r="SHW22" s="515"/>
      <c r="SHX22" s="515"/>
      <c r="SHY22" s="515"/>
      <c r="SHZ22" s="515"/>
      <c r="SIA22" s="515"/>
      <c r="SIB22" s="515"/>
      <c r="SIC22" s="515"/>
      <c r="SID22" s="515"/>
      <c r="SIE22" s="515"/>
      <c r="SIF22" s="515"/>
      <c r="SIG22" s="515"/>
      <c r="SIH22" s="515"/>
      <c r="SII22" s="515"/>
      <c r="SIJ22" s="515"/>
      <c r="SIK22" s="515"/>
      <c r="SIL22" s="515"/>
      <c r="SIM22" s="515"/>
      <c r="SIN22" s="515"/>
      <c r="SIO22" s="515"/>
      <c r="SIP22" s="515"/>
      <c r="SIQ22" s="515"/>
      <c r="SIR22" s="515"/>
      <c r="SIS22" s="515"/>
      <c r="SIT22" s="515"/>
      <c r="SIU22" s="515"/>
      <c r="SIV22" s="515"/>
      <c r="SIW22" s="515"/>
      <c r="SIX22" s="515"/>
      <c r="SIY22" s="515"/>
      <c r="SIZ22" s="515"/>
      <c r="SJA22" s="515"/>
      <c r="SJB22" s="515"/>
      <c r="SJC22" s="515"/>
      <c r="SJD22" s="515"/>
      <c r="SJE22" s="515"/>
      <c r="SJF22" s="515"/>
      <c r="SJG22" s="515"/>
      <c r="SJH22" s="515"/>
      <c r="SJI22" s="515"/>
      <c r="SJJ22" s="515"/>
      <c r="SJK22" s="515"/>
      <c r="SJL22" s="515"/>
      <c r="SJM22" s="515"/>
      <c r="SJN22" s="515"/>
      <c r="SJO22" s="515"/>
      <c r="SJP22" s="515"/>
      <c r="SJQ22" s="515"/>
      <c r="SJR22" s="515"/>
      <c r="SJS22" s="515"/>
      <c r="SJT22" s="515"/>
      <c r="SJU22" s="515"/>
      <c r="SJV22" s="515"/>
      <c r="SJW22" s="515"/>
      <c r="SJX22" s="515"/>
      <c r="SJY22" s="515"/>
      <c r="SJZ22" s="515"/>
      <c r="SKA22" s="515"/>
      <c r="SKB22" s="515"/>
      <c r="SKC22" s="515"/>
      <c r="SKD22" s="515"/>
      <c r="SKE22" s="515"/>
      <c r="SKF22" s="515"/>
      <c r="SKG22" s="515"/>
      <c r="SKH22" s="515"/>
      <c r="SKI22" s="515"/>
      <c r="SKJ22" s="515"/>
      <c r="SKK22" s="515"/>
      <c r="SKL22" s="515"/>
      <c r="SKM22" s="515"/>
      <c r="SKN22" s="515"/>
      <c r="SKO22" s="515"/>
      <c r="SKP22" s="515"/>
      <c r="SKQ22" s="515"/>
      <c r="SKR22" s="515"/>
      <c r="SKS22" s="515"/>
      <c r="SKT22" s="515"/>
      <c r="SKU22" s="515"/>
      <c r="SKV22" s="515"/>
      <c r="SKW22" s="515"/>
      <c r="SKX22" s="515"/>
      <c r="SKY22" s="515"/>
      <c r="SKZ22" s="515"/>
      <c r="SLA22" s="515"/>
      <c r="SLB22" s="515"/>
      <c r="SLC22" s="515"/>
      <c r="SLD22" s="515"/>
      <c r="SLE22" s="515"/>
      <c r="SLF22" s="515"/>
      <c r="SLG22" s="515"/>
      <c r="SLH22" s="515"/>
      <c r="SLI22" s="515"/>
      <c r="SLJ22" s="515"/>
      <c r="SLK22" s="515"/>
      <c r="SLL22" s="515"/>
      <c r="SLM22" s="515"/>
      <c r="SLN22" s="515"/>
      <c r="SLO22" s="515"/>
      <c r="SLP22" s="515"/>
      <c r="SLQ22" s="515"/>
      <c r="SLR22" s="515"/>
      <c r="SLS22" s="515"/>
      <c r="SLT22" s="515"/>
      <c r="SLU22" s="515"/>
      <c r="SLV22" s="515"/>
      <c r="SLW22" s="515"/>
      <c r="SLX22" s="515"/>
      <c r="SLY22" s="515"/>
      <c r="SLZ22" s="515"/>
      <c r="SMA22" s="515"/>
      <c r="SMB22" s="515"/>
      <c r="SMC22" s="515"/>
      <c r="SMD22" s="515"/>
      <c r="SME22" s="515"/>
      <c r="SMF22" s="515"/>
      <c r="SMG22" s="515"/>
      <c r="SMH22" s="515"/>
      <c r="SMI22" s="515"/>
      <c r="SMJ22" s="515"/>
      <c r="SMK22" s="515"/>
      <c r="SML22" s="515"/>
      <c r="SMM22" s="515"/>
      <c r="SMN22" s="515"/>
      <c r="SMO22" s="515"/>
      <c r="SMP22" s="515"/>
      <c r="SMQ22" s="515"/>
      <c r="SMR22" s="515"/>
      <c r="SMS22" s="515"/>
      <c r="SMT22" s="515"/>
      <c r="SMU22" s="515"/>
      <c r="SMV22" s="515"/>
      <c r="SMW22" s="515"/>
      <c r="SMX22" s="515"/>
      <c r="SMY22" s="515"/>
      <c r="SMZ22" s="515"/>
      <c r="SNA22" s="515"/>
      <c r="SNB22" s="515"/>
      <c r="SNC22" s="515"/>
      <c r="SND22" s="515"/>
      <c r="SNE22" s="515"/>
      <c r="SNF22" s="515"/>
      <c r="SNG22" s="515"/>
      <c r="SNH22" s="515"/>
      <c r="SNI22" s="515"/>
      <c r="SNJ22" s="515"/>
      <c r="SNK22" s="515"/>
      <c r="SNL22" s="515"/>
      <c r="SNM22" s="515"/>
      <c r="SNN22" s="515"/>
      <c r="SNO22" s="515"/>
      <c r="SNP22" s="515"/>
      <c r="SNQ22" s="515"/>
      <c r="SNR22" s="515"/>
      <c r="SNS22" s="515"/>
      <c r="SNT22" s="515"/>
      <c r="SNU22" s="515"/>
      <c r="SNV22" s="515"/>
      <c r="SNW22" s="515"/>
      <c r="SNX22" s="515"/>
      <c r="SNY22" s="515"/>
      <c r="SNZ22" s="515"/>
      <c r="SOA22" s="515"/>
      <c r="SOB22" s="515"/>
      <c r="SOC22" s="515"/>
      <c r="SOD22" s="515"/>
      <c r="SOE22" s="515"/>
      <c r="SOF22" s="515"/>
      <c r="SOG22" s="515"/>
      <c r="SOH22" s="515"/>
      <c r="SOI22" s="515"/>
      <c r="SOJ22" s="515"/>
      <c r="SOK22" s="515"/>
      <c r="SOL22" s="515"/>
      <c r="SOM22" s="515"/>
      <c r="SON22" s="515"/>
      <c r="SOO22" s="515"/>
      <c r="SOP22" s="515"/>
      <c r="SOQ22" s="515"/>
      <c r="SOR22" s="515"/>
      <c r="SOS22" s="515"/>
      <c r="SOT22" s="515"/>
      <c r="SOU22" s="515"/>
      <c r="SOV22" s="515"/>
      <c r="SOW22" s="515"/>
      <c r="SOX22" s="515"/>
      <c r="SOY22" s="515"/>
      <c r="SOZ22" s="515"/>
      <c r="SPA22" s="515"/>
      <c r="SPB22" s="515"/>
      <c r="SPC22" s="515"/>
      <c r="SPD22" s="515"/>
      <c r="SPE22" s="515"/>
      <c r="SPF22" s="515"/>
      <c r="SPG22" s="515"/>
      <c r="SPH22" s="515"/>
      <c r="SPI22" s="515"/>
      <c r="SPJ22" s="515"/>
      <c r="SPK22" s="515"/>
      <c r="SPL22" s="515"/>
      <c r="SPM22" s="515"/>
      <c r="SPN22" s="515"/>
      <c r="SPO22" s="515"/>
      <c r="SPP22" s="515"/>
      <c r="SPQ22" s="515"/>
      <c r="SPR22" s="515"/>
      <c r="SPS22" s="515"/>
      <c r="SPT22" s="515"/>
      <c r="SPU22" s="515"/>
      <c r="SPV22" s="515"/>
      <c r="SPW22" s="515"/>
      <c r="SPX22" s="515"/>
      <c r="SPY22" s="515"/>
      <c r="SPZ22" s="515"/>
      <c r="SQA22" s="515"/>
      <c r="SQB22" s="515"/>
      <c r="SQC22" s="515"/>
      <c r="SQD22" s="515"/>
      <c r="SQE22" s="515"/>
      <c r="SQF22" s="515"/>
      <c r="SQG22" s="515"/>
      <c r="SQH22" s="515"/>
      <c r="SQI22" s="515"/>
      <c r="SQJ22" s="515"/>
      <c r="SQK22" s="515"/>
      <c r="SQL22" s="515"/>
      <c r="SQM22" s="515"/>
      <c r="SQN22" s="515"/>
      <c r="SQO22" s="515"/>
      <c r="SQP22" s="515"/>
      <c r="SQQ22" s="515"/>
      <c r="SQR22" s="515"/>
      <c r="SQS22" s="515"/>
      <c r="SQT22" s="515"/>
      <c r="SQU22" s="515"/>
      <c r="SQV22" s="515"/>
      <c r="SQW22" s="515"/>
      <c r="SQX22" s="515"/>
      <c r="SQY22" s="515"/>
      <c r="SQZ22" s="515"/>
      <c r="SRA22" s="515"/>
      <c r="SRB22" s="515"/>
      <c r="SRC22" s="515"/>
      <c r="SRD22" s="515"/>
      <c r="SRE22" s="515"/>
      <c r="SRF22" s="515"/>
      <c r="SRG22" s="515"/>
      <c r="SRH22" s="515"/>
      <c r="SRI22" s="515"/>
      <c r="SRJ22" s="515"/>
      <c r="SRK22" s="515"/>
      <c r="SRL22" s="515"/>
      <c r="SRM22" s="515"/>
      <c r="SRN22" s="515"/>
      <c r="SRO22" s="515"/>
      <c r="SRP22" s="515"/>
      <c r="SRQ22" s="515"/>
      <c r="SRR22" s="515"/>
      <c r="SRS22" s="515"/>
      <c r="SRT22" s="515"/>
      <c r="SRU22" s="515"/>
      <c r="SRV22" s="515"/>
      <c r="SRW22" s="515"/>
      <c r="SRX22" s="515"/>
      <c r="SRY22" s="515"/>
      <c r="SRZ22" s="515"/>
      <c r="SSA22" s="515"/>
      <c r="SSB22" s="515"/>
      <c r="SSC22" s="515"/>
      <c r="SSD22" s="515"/>
      <c r="SSE22" s="515"/>
      <c r="SSF22" s="515"/>
      <c r="SSG22" s="515"/>
      <c r="SSH22" s="515"/>
      <c r="SSI22" s="515"/>
      <c r="SSJ22" s="515"/>
      <c r="SSK22" s="515"/>
      <c r="SSL22" s="515"/>
      <c r="SSM22" s="515"/>
      <c r="SSN22" s="515"/>
      <c r="SSO22" s="515"/>
      <c r="SSP22" s="515"/>
      <c r="SSQ22" s="515"/>
      <c r="SSR22" s="515"/>
      <c r="SSS22" s="515"/>
      <c r="SST22" s="515"/>
      <c r="SSU22" s="515"/>
      <c r="SSV22" s="515"/>
      <c r="SSW22" s="515"/>
      <c r="SSX22" s="515"/>
      <c r="SSY22" s="515"/>
      <c r="SSZ22" s="515"/>
      <c r="STA22" s="515"/>
      <c r="STB22" s="515"/>
      <c r="STC22" s="515"/>
      <c r="STD22" s="515"/>
      <c r="STE22" s="515"/>
      <c r="STF22" s="515"/>
      <c r="STG22" s="515"/>
      <c r="STH22" s="515"/>
      <c r="STI22" s="515"/>
      <c r="STJ22" s="515"/>
      <c r="STK22" s="515"/>
      <c r="STL22" s="515"/>
      <c r="STM22" s="515"/>
      <c r="STN22" s="515"/>
      <c r="STO22" s="515"/>
      <c r="STP22" s="515"/>
      <c r="STQ22" s="515"/>
      <c r="STR22" s="515"/>
      <c r="STS22" s="515"/>
      <c r="STT22" s="515"/>
      <c r="STU22" s="515"/>
      <c r="STV22" s="515"/>
      <c r="STW22" s="515"/>
      <c r="STX22" s="515"/>
      <c r="STY22" s="515"/>
      <c r="STZ22" s="515"/>
      <c r="SUA22" s="515"/>
      <c r="SUB22" s="515"/>
      <c r="SUC22" s="515"/>
      <c r="SUD22" s="515"/>
      <c r="SUE22" s="515"/>
      <c r="SUF22" s="515"/>
      <c r="SUG22" s="515"/>
      <c r="SUH22" s="515"/>
      <c r="SUI22" s="515"/>
      <c r="SUJ22" s="515"/>
      <c r="SUK22" s="515"/>
      <c r="SUL22" s="515"/>
      <c r="SUM22" s="515"/>
      <c r="SUN22" s="515"/>
      <c r="SUO22" s="515"/>
      <c r="SUP22" s="515"/>
      <c r="SUQ22" s="515"/>
      <c r="SUR22" s="515"/>
      <c r="SUS22" s="515"/>
      <c r="SUT22" s="515"/>
      <c r="SUU22" s="515"/>
      <c r="SUV22" s="515"/>
      <c r="SUW22" s="515"/>
      <c r="SUX22" s="515"/>
      <c r="SUY22" s="515"/>
      <c r="SUZ22" s="515"/>
      <c r="SVA22" s="515"/>
      <c r="SVB22" s="515"/>
      <c r="SVC22" s="515"/>
      <c r="SVD22" s="515"/>
      <c r="SVE22" s="515"/>
      <c r="SVF22" s="515"/>
      <c r="SVG22" s="515"/>
      <c r="SVH22" s="515"/>
      <c r="SVI22" s="515"/>
      <c r="SVJ22" s="515"/>
      <c r="SVK22" s="515"/>
      <c r="SVL22" s="515"/>
      <c r="SVM22" s="515"/>
      <c r="SVN22" s="515"/>
      <c r="SVO22" s="515"/>
      <c r="SVP22" s="515"/>
      <c r="SVQ22" s="515"/>
      <c r="SVR22" s="515"/>
      <c r="SVS22" s="515"/>
      <c r="SVT22" s="515"/>
      <c r="SVU22" s="515"/>
      <c r="SVV22" s="515"/>
      <c r="SVW22" s="515"/>
      <c r="SVX22" s="515"/>
      <c r="SVY22" s="515"/>
      <c r="SVZ22" s="515"/>
      <c r="SWA22" s="515"/>
      <c r="SWB22" s="515"/>
      <c r="SWC22" s="515"/>
      <c r="SWD22" s="515"/>
      <c r="SWE22" s="515"/>
      <c r="SWF22" s="515"/>
      <c r="SWG22" s="515"/>
      <c r="SWH22" s="515"/>
      <c r="SWI22" s="515"/>
      <c r="SWJ22" s="515"/>
      <c r="SWK22" s="515"/>
      <c r="SWL22" s="515"/>
      <c r="SWM22" s="515"/>
      <c r="SWN22" s="515"/>
      <c r="SWO22" s="515"/>
      <c r="SWP22" s="515"/>
      <c r="SWQ22" s="515"/>
      <c r="SWR22" s="515"/>
      <c r="SWS22" s="515"/>
      <c r="SWT22" s="515"/>
      <c r="SWU22" s="515"/>
      <c r="SWV22" s="515"/>
      <c r="SWW22" s="515"/>
      <c r="SWX22" s="515"/>
      <c r="SWY22" s="515"/>
      <c r="SWZ22" s="515"/>
      <c r="SXA22" s="515"/>
      <c r="SXB22" s="515"/>
      <c r="SXC22" s="515"/>
      <c r="SXD22" s="515"/>
      <c r="SXE22" s="515"/>
      <c r="SXF22" s="515"/>
      <c r="SXG22" s="515"/>
      <c r="SXH22" s="515"/>
      <c r="SXI22" s="515"/>
      <c r="SXJ22" s="515"/>
      <c r="SXK22" s="515"/>
      <c r="SXL22" s="515"/>
      <c r="SXM22" s="515"/>
      <c r="SXN22" s="515"/>
      <c r="SXO22" s="515"/>
      <c r="SXP22" s="515"/>
      <c r="SXQ22" s="515"/>
      <c r="SXR22" s="515"/>
      <c r="SXS22" s="515"/>
      <c r="SXT22" s="515"/>
      <c r="SXU22" s="515"/>
      <c r="SXV22" s="515"/>
      <c r="SXW22" s="515"/>
      <c r="SXX22" s="515"/>
      <c r="SXY22" s="515"/>
      <c r="SXZ22" s="515"/>
      <c r="SYA22" s="515"/>
      <c r="SYB22" s="515"/>
      <c r="SYC22" s="515"/>
      <c r="SYD22" s="515"/>
      <c r="SYE22" s="515"/>
      <c r="SYF22" s="515"/>
      <c r="SYG22" s="515"/>
      <c r="SYH22" s="515"/>
      <c r="SYI22" s="515"/>
      <c r="SYJ22" s="515"/>
      <c r="SYK22" s="515"/>
      <c r="SYL22" s="515"/>
      <c r="SYM22" s="515"/>
      <c r="SYN22" s="515"/>
      <c r="SYO22" s="515"/>
      <c r="SYP22" s="515"/>
      <c r="SYQ22" s="515"/>
      <c r="SYR22" s="515"/>
      <c r="SYS22" s="515"/>
      <c r="SYT22" s="515"/>
      <c r="SYU22" s="515"/>
      <c r="SYV22" s="515"/>
      <c r="SYW22" s="515"/>
      <c r="SYX22" s="515"/>
      <c r="SYY22" s="515"/>
      <c r="SYZ22" s="515"/>
      <c r="SZA22" s="515"/>
      <c r="SZB22" s="515"/>
      <c r="SZC22" s="515"/>
      <c r="SZD22" s="515"/>
      <c r="SZE22" s="515"/>
      <c r="SZF22" s="515"/>
      <c r="SZG22" s="515"/>
      <c r="SZH22" s="515"/>
      <c r="SZI22" s="515"/>
      <c r="SZJ22" s="515"/>
      <c r="SZK22" s="515"/>
      <c r="SZL22" s="515"/>
      <c r="SZM22" s="515"/>
      <c r="SZN22" s="515"/>
      <c r="SZO22" s="515"/>
      <c r="SZP22" s="515"/>
      <c r="SZQ22" s="515"/>
      <c r="SZR22" s="515"/>
      <c r="SZS22" s="515"/>
      <c r="SZT22" s="515"/>
      <c r="SZU22" s="515"/>
      <c r="SZV22" s="515"/>
      <c r="SZW22" s="515"/>
      <c r="SZX22" s="515"/>
      <c r="SZY22" s="515"/>
      <c r="SZZ22" s="515"/>
      <c r="TAA22" s="515"/>
      <c r="TAB22" s="515"/>
      <c r="TAC22" s="515"/>
      <c r="TAD22" s="515"/>
      <c r="TAE22" s="515"/>
      <c r="TAF22" s="515"/>
      <c r="TAG22" s="515"/>
      <c r="TAH22" s="515"/>
      <c r="TAI22" s="515"/>
      <c r="TAJ22" s="515"/>
      <c r="TAK22" s="515"/>
      <c r="TAL22" s="515"/>
      <c r="TAM22" s="515"/>
      <c r="TAN22" s="515"/>
      <c r="TAO22" s="515"/>
      <c r="TAP22" s="515"/>
      <c r="TAQ22" s="515"/>
      <c r="TAR22" s="515"/>
      <c r="TAS22" s="515"/>
      <c r="TAT22" s="515"/>
      <c r="TAU22" s="515"/>
      <c r="TAV22" s="515"/>
      <c r="TAW22" s="515"/>
      <c r="TAX22" s="515"/>
      <c r="TAY22" s="515"/>
      <c r="TAZ22" s="515"/>
      <c r="TBA22" s="515"/>
      <c r="TBB22" s="515"/>
      <c r="TBC22" s="515"/>
      <c r="TBD22" s="515"/>
      <c r="TBE22" s="515"/>
      <c r="TBF22" s="515"/>
      <c r="TBG22" s="515"/>
      <c r="TBH22" s="515"/>
      <c r="TBI22" s="515"/>
      <c r="TBJ22" s="515"/>
      <c r="TBK22" s="515"/>
      <c r="TBL22" s="515"/>
      <c r="TBM22" s="515"/>
      <c r="TBN22" s="515"/>
      <c r="TBO22" s="515"/>
      <c r="TBP22" s="515"/>
      <c r="TBQ22" s="515"/>
      <c r="TBR22" s="515"/>
      <c r="TBS22" s="515"/>
      <c r="TBT22" s="515"/>
      <c r="TBU22" s="515"/>
      <c r="TBV22" s="515"/>
      <c r="TBW22" s="515"/>
      <c r="TBX22" s="515"/>
      <c r="TBY22" s="515"/>
      <c r="TBZ22" s="515"/>
      <c r="TCA22" s="515"/>
      <c r="TCB22" s="515"/>
      <c r="TCC22" s="515"/>
      <c r="TCD22" s="515"/>
      <c r="TCE22" s="515"/>
      <c r="TCF22" s="515"/>
      <c r="TCG22" s="515"/>
      <c r="TCH22" s="515"/>
      <c r="TCI22" s="515"/>
      <c r="TCJ22" s="515"/>
      <c r="TCK22" s="515"/>
      <c r="TCL22" s="515"/>
      <c r="TCM22" s="515"/>
      <c r="TCN22" s="515"/>
      <c r="TCO22" s="515"/>
      <c r="TCP22" s="515"/>
      <c r="TCQ22" s="515"/>
      <c r="TCR22" s="515"/>
      <c r="TCS22" s="515"/>
      <c r="TCT22" s="515"/>
      <c r="TCU22" s="515"/>
      <c r="TCV22" s="515"/>
      <c r="TCW22" s="515"/>
      <c r="TCX22" s="515"/>
      <c r="TCY22" s="515"/>
      <c r="TCZ22" s="515"/>
      <c r="TDA22" s="515"/>
      <c r="TDB22" s="515"/>
      <c r="TDC22" s="515"/>
      <c r="TDD22" s="515"/>
      <c r="TDE22" s="515"/>
      <c r="TDF22" s="515"/>
      <c r="TDG22" s="515"/>
      <c r="TDH22" s="515"/>
      <c r="TDI22" s="515"/>
      <c r="TDJ22" s="515"/>
      <c r="TDK22" s="515"/>
      <c r="TDL22" s="515"/>
      <c r="TDM22" s="515"/>
      <c r="TDN22" s="515"/>
      <c r="TDO22" s="515"/>
      <c r="TDP22" s="515"/>
      <c r="TDQ22" s="515"/>
      <c r="TDR22" s="515"/>
      <c r="TDS22" s="515"/>
      <c r="TDT22" s="515"/>
      <c r="TDU22" s="515"/>
      <c r="TDV22" s="515"/>
      <c r="TDW22" s="515"/>
      <c r="TDX22" s="515"/>
      <c r="TDY22" s="515"/>
      <c r="TDZ22" s="515"/>
      <c r="TEA22" s="515"/>
      <c r="TEB22" s="515"/>
      <c r="TEC22" s="515"/>
      <c r="TED22" s="515"/>
      <c r="TEE22" s="515"/>
      <c r="TEF22" s="515"/>
      <c r="TEG22" s="515"/>
      <c r="TEH22" s="515"/>
      <c r="TEI22" s="515"/>
      <c r="TEJ22" s="515"/>
      <c r="TEK22" s="515"/>
      <c r="TEL22" s="515"/>
      <c r="TEM22" s="515"/>
      <c r="TEN22" s="515"/>
      <c r="TEO22" s="515"/>
      <c r="TEP22" s="515"/>
      <c r="TEQ22" s="515"/>
      <c r="TER22" s="515"/>
      <c r="TES22" s="515"/>
      <c r="TET22" s="515"/>
      <c r="TEU22" s="515"/>
      <c r="TEV22" s="515"/>
      <c r="TEW22" s="515"/>
      <c r="TEX22" s="515"/>
      <c r="TEY22" s="515"/>
      <c r="TEZ22" s="515"/>
      <c r="TFA22" s="515"/>
      <c r="TFB22" s="515"/>
      <c r="TFC22" s="515"/>
      <c r="TFD22" s="515"/>
      <c r="TFE22" s="515"/>
      <c r="TFF22" s="515"/>
      <c r="TFG22" s="515"/>
      <c r="TFH22" s="515"/>
      <c r="TFI22" s="515"/>
      <c r="TFJ22" s="515"/>
      <c r="TFK22" s="515"/>
      <c r="TFL22" s="515"/>
      <c r="TFM22" s="515"/>
      <c r="TFN22" s="515"/>
      <c r="TFO22" s="515"/>
      <c r="TFP22" s="515"/>
      <c r="TFQ22" s="515"/>
      <c r="TFR22" s="515"/>
      <c r="TFS22" s="515"/>
      <c r="TFT22" s="515"/>
      <c r="TFU22" s="515"/>
      <c r="TFV22" s="515"/>
      <c r="TFW22" s="515"/>
      <c r="TFX22" s="515"/>
      <c r="TFY22" s="515"/>
      <c r="TFZ22" s="515"/>
      <c r="TGA22" s="515"/>
      <c r="TGB22" s="515"/>
      <c r="TGC22" s="515"/>
      <c r="TGD22" s="515"/>
      <c r="TGE22" s="515"/>
      <c r="TGF22" s="515"/>
      <c r="TGG22" s="515"/>
      <c r="TGH22" s="515"/>
      <c r="TGI22" s="515"/>
      <c r="TGJ22" s="515"/>
      <c r="TGK22" s="515"/>
      <c r="TGL22" s="515"/>
      <c r="TGM22" s="515"/>
      <c r="TGN22" s="515"/>
      <c r="TGO22" s="515"/>
      <c r="TGP22" s="515"/>
      <c r="TGQ22" s="515"/>
      <c r="TGR22" s="515"/>
      <c r="TGS22" s="515"/>
      <c r="TGT22" s="515"/>
      <c r="TGU22" s="515"/>
      <c r="TGV22" s="515"/>
      <c r="TGW22" s="515"/>
      <c r="TGX22" s="515"/>
      <c r="TGY22" s="515"/>
      <c r="TGZ22" s="515"/>
      <c r="THA22" s="515"/>
      <c r="THB22" s="515"/>
      <c r="THC22" s="515"/>
      <c r="THD22" s="515"/>
      <c r="THE22" s="515"/>
      <c r="THF22" s="515"/>
      <c r="THG22" s="515"/>
      <c r="THH22" s="515"/>
      <c r="THI22" s="515"/>
      <c r="THJ22" s="515"/>
      <c r="THK22" s="515"/>
      <c r="THL22" s="515"/>
      <c r="THM22" s="515"/>
      <c r="THN22" s="515"/>
      <c r="THO22" s="515"/>
      <c r="THP22" s="515"/>
      <c r="THQ22" s="515"/>
      <c r="THR22" s="515"/>
      <c r="THS22" s="515"/>
      <c r="THT22" s="515"/>
      <c r="THU22" s="515"/>
      <c r="THV22" s="515"/>
      <c r="THW22" s="515"/>
      <c r="THX22" s="515"/>
      <c r="THY22" s="515"/>
      <c r="THZ22" s="515"/>
      <c r="TIA22" s="515"/>
      <c r="TIB22" s="515"/>
      <c r="TIC22" s="515"/>
      <c r="TID22" s="515"/>
      <c r="TIE22" s="515"/>
      <c r="TIF22" s="515"/>
      <c r="TIG22" s="515"/>
      <c r="TIH22" s="515"/>
      <c r="TII22" s="515"/>
      <c r="TIJ22" s="515"/>
      <c r="TIK22" s="515"/>
      <c r="TIL22" s="515"/>
      <c r="TIM22" s="515"/>
      <c r="TIN22" s="515"/>
      <c r="TIO22" s="515"/>
      <c r="TIP22" s="515"/>
      <c r="TIQ22" s="515"/>
      <c r="TIR22" s="515"/>
      <c r="TIS22" s="515"/>
      <c r="TIT22" s="515"/>
      <c r="TIU22" s="515"/>
      <c r="TIV22" s="515"/>
      <c r="TIW22" s="515"/>
      <c r="TIX22" s="515"/>
      <c r="TIY22" s="515"/>
      <c r="TIZ22" s="515"/>
      <c r="TJA22" s="515"/>
      <c r="TJB22" s="515"/>
      <c r="TJC22" s="515"/>
      <c r="TJD22" s="515"/>
      <c r="TJE22" s="515"/>
      <c r="TJF22" s="515"/>
      <c r="TJG22" s="515"/>
      <c r="TJH22" s="515"/>
      <c r="TJI22" s="515"/>
      <c r="TJJ22" s="515"/>
      <c r="TJK22" s="515"/>
      <c r="TJL22" s="515"/>
      <c r="TJM22" s="515"/>
      <c r="TJN22" s="515"/>
      <c r="TJO22" s="515"/>
      <c r="TJP22" s="515"/>
      <c r="TJQ22" s="515"/>
      <c r="TJR22" s="515"/>
      <c r="TJS22" s="515"/>
      <c r="TJT22" s="515"/>
      <c r="TJU22" s="515"/>
      <c r="TJV22" s="515"/>
      <c r="TJW22" s="515"/>
      <c r="TJX22" s="515"/>
      <c r="TJY22" s="515"/>
      <c r="TJZ22" s="515"/>
      <c r="TKA22" s="515"/>
      <c r="TKB22" s="515"/>
      <c r="TKC22" s="515"/>
      <c r="TKD22" s="515"/>
      <c r="TKE22" s="515"/>
      <c r="TKF22" s="515"/>
      <c r="TKG22" s="515"/>
      <c r="TKH22" s="515"/>
      <c r="TKI22" s="515"/>
      <c r="TKJ22" s="515"/>
      <c r="TKK22" s="515"/>
      <c r="TKL22" s="515"/>
      <c r="TKM22" s="515"/>
      <c r="TKN22" s="515"/>
      <c r="TKO22" s="515"/>
      <c r="TKP22" s="515"/>
      <c r="TKQ22" s="515"/>
      <c r="TKR22" s="515"/>
      <c r="TKS22" s="515"/>
      <c r="TKT22" s="515"/>
      <c r="TKU22" s="515"/>
      <c r="TKV22" s="515"/>
      <c r="TKW22" s="515"/>
      <c r="TKX22" s="515"/>
      <c r="TKY22" s="515"/>
      <c r="TKZ22" s="515"/>
      <c r="TLA22" s="515"/>
      <c r="TLB22" s="515"/>
      <c r="TLC22" s="515"/>
      <c r="TLD22" s="515"/>
      <c r="TLE22" s="515"/>
      <c r="TLF22" s="515"/>
      <c r="TLG22" s="515"/>
      <c r="TLH22" s="515"/>
      <c r="TLI22" s="515"/>
      <c r="TLJ22" s="515"/>
      <c r="TLK22" s="515"/>
      <c r="TLL22" s="515"/>
      <c r="TLM22" s="515"/>
      <c r="TLN22" s="515"/>
      <c r="TLO22" s="515"/>
      <c r="TLP22" s="515"/>
      <c r="TLQ22" s="515"/>
      <c r="TLR22" s="515"/>
      <c r="TLS22" s="515"/>
      <c r="TLT22" s="515"/>
      <c r="TLU22" s="515"/>
      <c r="TLV22" s="515"/>
      <c r="TLW22" s="515"/>
      <c r="TLX22" s="515"/>
      <c r="TLY22" s="515"/>
      <c r="TLZ22" s="515"/>
      <c r="TMA22" s="515"/>
      <c r="TMB22" s="515"/>
      <c r="TMC22" s="515"/>
      <c r="TMD22" s="515"/>
      <c r="TME22" s="515"/>
      <c r="TMF22" s="515"/>
      <c r="TMG22" s="515"/>
      <c r="TMH22" s="515"/>
      <c r="TMI22" s="515"/>
      <c r="TMJ22" s="515"/>
      <c r="TMK22" s="515"/>
      <c r="TML22" s="515"/>
      <c r="TMM22" s="515"/>
      <c r="TMN22" s="515"/>
      <c r="TMO22" s="515"/>
      <c r="TMP22" s="515"/>
      <c r="TMQ22" s="515"/>
      <c r="TMR22" s="515"/>
      <c r="TMS22" s="515"/>
      <c r="TMT22" s="515"/>
      <c r="TMU22" s="515"/>
      <c r="TMV22" s="515"/>
      <c r="TMW22" s="515"/>
      <c r="TMX22" s="515"/>
      <c r="TMY22" s="515"/>
      <c r="TMZ22" s="515"/>
      <c r="TNA22" s="515"/>
      <c r="TNB22" s="515"/>
      <c r="TNC22" s="515"/>
      <c r="TND22" s="515"/>
      <c r="TNE22" s="515"/>
      <c r="TNF22" s="515"/>
      <c r="TNG22" s="515"/>
      <c r="TNH22" s="515"/>
      <c r="TNI22" s="515"/>
      <c r="TNJ22" s="515"/>
      <c r="TNK22" s="515"/>
      <c r="TNL22" s="515"/>
      <c r="TNM22" s="515"/>
      <c r="TNN22" s="515"/>
      <c r="TNO22" s="515"/>
      <c r="TNP22" s="515"/>
      <c r="TNQ22" s="515"/>
      <c r="TNR22" s="515"/>
      <c r="TNS22" s="515"/>
      <c r="TNT22" s="515"/>
      <c r="TNU22" s="515"/>
      <c r="TNV22" s="515"/>
      <c r="TNW22" s="515"/>
      <c r="TNX22" s="515"/>
      <c r="TNY22" s="515"/>
      <c r="TNZ22" s="515"/>
      <c r="TOA22" s="515"/>
      <c r="TOB22" s="515"/>
      <c r="TOC22" s="515"/>
      <c r="TOD22" s="515"/>
      <c r="TOE22" s="515"/>
      <c r="TOF22" s="515"/>
      <c r="TOG22" s="515"/>
      <c r="TOH22" s="515"/>
      <c r="TOI22" s="515"/>
      <c r="TOJ22" s="515"/>
      <c r="TOK22" s="515"/>
      <c r="TOL22" s="515"/>
      <c r="TOM22" s="515"/>
      <c r="TON22" s="515"/>
      <c r="TOO22" s="515"/>
      <c r="TOP22" s="515"/>
      <c r="TOQ22" s="515"/>
      <c r="TOR22" s="515"/>
      <c r="TOS22" s="515"/>
      <c r="TOT22" s="515"/>
      <c r="TOU22" s="515"/>
      <c r="TOV22" s="515"/>
      <c r="TOW22" s="515"/>
      <c r="TOX22" s="515"/>
      <c r="TOY22" s="515"/>
      <c r="TOZ22" s="515"/>
      <c r="TPA22" s="515"/>
      <c r="TPB22" s="515"/>
      <c r="TPC22" s="515"/>
      <c r="TPD22" s="515"/>
      <c r="TPE22" s="515"/>
      <c r="TPF22" s="515"/>
      <c r="TPG22" s="515"/>
      <c r="TPH22" s="515"/>
      <c r="TPI22" s="515"/>
      <c r="TPJ22" s="515"/>
      <c r="TPK22" s="515"/>
      <c r="TPL22" s="515"/>
      <c r="TPM22" s="515"/>
      <c r="TPN22" s="515"/>
      <c r="TPO22" s="515"/>
      <c r="TPP22" s="515"/>
      <c r="TPQ22" s="515"/>
      <c r="TPR22" s="515"/>
      <c r="TPS22" s="515"/>
      <c r="TPT22" s="515"/>
      <c r="TPU22" s="515"/>
      <c r="TPV22" s="515"/>
      <c r="TPW22" s="515"/>
      <c r="TPX22" s="515"/>
      <c r="TPY22" s="515"/>
      <c r="TPZ22" s="515"/>
      <c r="TQA22" s="515"/>
      <c r="TQB22" s="515"/>
      <c r="TQC22" s="515"/>
      <c r="TQD22" s="515"/>
      <c r="TQE22" s="515"/>
      <c r="TQF22" s="515"/>
      <c r="TQG22" s="515"/>
      <c r="TQH22" s="515"/>
      <c r="TQI22" s="515"/>
      <c r="TQJ22" s="515"/>
      <c r="TQK22" s="515"/>
      <c r="TQL22" s="515"/>
      <c r="TQM22" s="515"/>
      <c r="TQN22" s="515"/>
      <c r="TQO22" s="515"/>
      <c r="TQP22" s="515"/>
      <c r="TQQ22" s="515"/>
      <c r="TQR22" s="515"/>
      <c r="TQS22" s="515"/>
      <c r="TQT22" s="515"/>
      <c r="TQU22" s="515"/>
      <c r="TQV22" s="515"/>
      <c r="TQW22" s="515"/>
      <c r="TQX22" s="515"/>
      <c r="TQY22" s="515"/>
      <c r="TQZ22" s="515"/>
      <c r="TRA22" s="515"/>
      <c r="TRB22" s="515"/>
      <c r="TRC22" s="515"/>
      <c r="TRD22" s="515"/>
      <c r="TRE22" s="515"/>
      <c r="TRF22" s="515"/>
      <c r="TRG22" s="515"/>
      <c r="TRH22" s="515"/>
      <c r="TRI22" s="515"/>
      <c r="TRJ22" s="515"/>
      <c r="TRK22" s="515"/>
      <c r="TRL22" s="515"/>
      <c r="TRM22" s="515"/>
      <c r="TRN22" s="515"/>
      <c r="TRO22" s="515"/>
      <c r="TRP22" s="515"/>
      <c r="TRQ22" s="515"/>
      <c r="TRR22" s="515"/>
      <c r="TRS22" s="515"/>
      <c r="TRT22" s="515"/>
      <c r="TRU22" s="515"/>
      <c r="TRV22" s="515"/>
      <c r="TRW22" s="515"/>
      <c r="TRX22" s="515"/>
      <c r="TRY22" s="515"/>
      <c r="TRZ22" s="515"/>
      <c r="TSA22" s="515"/>
      <c r="TSB22" s="515"/>
      <c r="TSC22" s="515"/>
      <c r="TSD22" s="515"/>
      <c r="TSE22" s="515"/>
      <c r="TSF22" s="515"/>
      <c r="TSG22" s="515"/>
      <c r="TSH22" s="515"/>
      <c r="TSI22" s="515"/>
      <c r="TSJ22" s="515"/>
      <c r="TSK22" s="515"/>
      <c r="TSL22" s="515"/>
      <c r="TSM22" s="515"/>
      <c r="TSN22" s="515"/>
      <c r="TSO22" s="515"/>
      <c r="TSP22" s="515"/>
      <c r="TSQ22" s="515"/>
      <c r="TSR22" s="515"/>
      <c r="TSS22" s="515"/>
      <c r="TST22" s="515"/>
      <c r="TSU22" s="515"/>
      <c r="TSV22" s="515"/>
      <c r="TSW22" s="515"/>
      <c r="TSX22" s="515"/>
      <c r="TSY22" s="515"/>
      <c r="TSZ22" s="515"/>
      <c r="TTA22" s="515"/>
      <c r="TTB22" s="515"/>
      <c r="TTC22" s="515"/>
      <c r="TTD22" s="515"/>
      <c r="TTE22" s="515"/>
      <c r="TTF22" s="515"/>
      <c r="TTG22" s="515"/>
      <c r="TTH22" s="515"/>
      <c r="TTI22" s="515"/>
      <c r="TTJ22" s="515"/>
      <c r="TTK22" s="515"/>
      <c r="TTL22" s="515"/>
      <c r="TTM22" s="515"/>
      <c r="TTN22" s="515"/>
      <c r="TTO22" s="515"/>
      <c r="TTP22" s="515"/>
      <c r="TTQ22" s="515"/>
      <c r="TTR22" s="515"/>
      <c r="TTS22" s="515"/>
      <c r="TTT22" s="515"/>
      <c r="TTU22" s="515"/>
      <c r="TTV22" s="515"/>
      <c r="TTW22" s="515"/>
      <c r="TTX22" s="515"/>
      <c r="TTY22" s="515"/>
      <c r="TTZ22" s="515"/>
      <c r="TUA22" s="515"/>
      <c r="TUB22" s="515"/>
      <c r="TUC22" s="515"/>
      <c r="TUD22" s="515"/>
      <c r="TUE22" s="515"/>
      <c r="TUF22" s="515"/>
      <c r="TUG22" s="515"/>
      <c r="TUH22" s="515"/>
      <c r="TUI22" s="515"/>
      <c r="TUJ22" s="515"/>
      <c r="TUK22" s="515"/>
      <c r="TUL22" s="515"/>
      <c r="TUM22" s="515"/>
      <c r="TUN22" s="515"/>
      <c r="TUO22" s="515"/>
      <c r="TUP22" s="515"/>
      <c r="TUQ22" s="515"/>
      <c r="TUR22" s="515"/>
      <c r="TUS22" s="515"/>
      <c r="TUT22" s="515"/>
      <c r="TUU22" s="515"/>
      <c r="TUV22" s="515"/>
      <c r="TUW22" s="515"/>
      <c r="TUX22" s="515"/>
      <c r="TUY22" s="515"/>
      <c r="TUZ22" s="515"/>
      <c r="TVA22" s="515"/>
      <c r="TVB22" s="515"/>
      <c r="TVC22" s="515"/>
      <c r="TVD22" s="515"/>
      <c r="TVE22" s="515"/>
      <c r="TVF22" s="515"/>
      <c r="TVG22" s="515"/>
      <c r="TVH22" s="515"/>
      <c r="TVI22" s="515"/>
      <c r="TVJ22" s="515"/>
      <c r="TVK22" s="515"/>
      <c r="TVL22" s="515"/>
      <c r="TVM22" s="515"/>
      <c r="TVN22" s="515"/>
      <c r="TVO22" s="515"/>
      <c r="TVP22" s="515"/>
      <c r="TVQ22" s="515"/>
      <c r="TVR22" s="515"/>
      <c r="TVS22" s="515"/>
      <c r="TVT22" s="515"/>
      <c r="TVU22" s="515"/>
      <c r="TVV22" s="515"/>
      <c r="TVW22" s="515"/>
      <c r="TVX22" s="515"/>
      <c r="TVY22" s="515"/>
      <c r="TVZ22" s="515"/>
      <c r="TWA22" s="515"/>
      <c r="TWB22" s="515"/>
      <c r="TWC22" s="515"/>
      <c r="TWD22" s="515"/>
      <c r="TWE22" s="515"/>
      <c r="TWF22" s="515"/>
      <c r="TWG22" s="515"/>
      <c r="TWH22" s="515"/>
      <c r="TWI22" s="515"/>
      <c r="TWJ22" s="515"/>
      <c r="TWK22" s="515"/>
      <c r="TWL22" s="515"/>
      <c r="TWM22" s="515"/>
      <c r="TWN22" s="515"/>
      <c r="TWO22" s="515"/>
      <c r="TWP22" s="515"/>
      <c r="TWQ22" s="515"/>
      <c r="TWR22" s="515"/>
      <c r="TWS22" s="515"/>
      <c r="TWT22" s="515"/>
      <c r="TWU22" s="515"/>
      <c r="TWV22" s="515"/>
      <c r="TWW22" s="515"/>
      <c r="TWX22" s="515"/>
      <c r="TWY22" s="515"/>
      <c r="TWZ22" s="515"/>
      <c r="TXA22" s="515"/>
      <c r="TXB22" s="515"/>
      <c r="TXC22" s="515"/>
      <c r="TXD22" s="515"/>
      <c r="TXE22" s="515"/>
      <c r="TXF22" s="515"/>
      <c r="TXG22" s="515"/>
      <c r="TXH22" s="515"/>
      <c r="TXI22" s="515"/>
      <c r="TXJ22" s="515"/>
      <c r="TXK22" s="515"/>
      <c r="TXL22" s="515"/>
      <c r="TXM22" s="515"/>
      <c r="TXN22" s="515"/>
      <c r="TXO22" s="515"/>
      <c r="TXP22" s="515"/>
      <c r="TXQ22" s="515"/>
      <c r="TXR22" s="515"/>
      <c r="TXS22" s="515"/>
      <c r="TXT22" s="515"/>
      <c r="TXU22" s="515"/>
      <c r="TXV22" s="515"/>
      <c r="TXW22" s="515"/>
      <c r="TXX22" s="515"/>
      <c r="TXY22" s="515"/>
      <c r="TXZ22" s="515"/>
      <c r="TYA22" s="515"/>
      <c r="TYB22" s="515"/>
      <c r="TYC22" s="515"/>
      <c r="TYD22" s="515"/>
      <c r="TYE22" s="515"/>
      <c r="TYF22" s="515"/>
      <c r="TYG22" s="515"/>
      <c r="TYH22" s="515"/>
      <c r="TYI22" s="515"/>
      <c r="TYJ22" s="515"/>
      <c r="TYK22" s="515"/>
      <c r="TYL22" s="515"/>
      <c r="TYM22" s="515"/>
      <c r="TYN22" s="515"/>
      <c r="TYO22" s="515"/>
      <c r="TYP22" s="515"/>
      <c r="TYQ22" s="515"/>
      <c r="TYR22" s="515"/>
      <c r="TYS22" s="515"/>
      <c r="TYT22" s="515"/>
      <c r="TYU22" s="515"/>
      <c r="TYV22" s="515"/>
      <c r="TYW22" s="515"/>
      <c r="TYX22" s="515"/>
      <c r="TYY22" s="515"/>
      <c r="TYZ22" s="515"/>
      <c r="TZA22" s="515"/>
      <c r="TZB22" s="515"/>
      <c r="TZC22" s="515"/>
      <c r="TZD22" s="515"/>
      <c r="TZE22" s="515"/>
      <c r="TZF22" s="515"/>
      <c r="TZG22" s="515"/>
      <c r="TZH22" s="515"/>
      <c r="TZI22" s="515"/>
      <c r="TZJ22" s="515"/>
      <c r="TZK22" s="515"/>
      <c r="TZL22" s="515"/>
      <c r="TZM22" s="515"/>
      <c r="TZN22" s="515"/>
      <c r="TZO22" s="515"/>
      <c r="TZP22" s="515"/>
      <c r="TZQ22" s="515"/>
      <c r="TZR22" s="515"/>
      <c r="TZS22" s="515"/>
      <c r="TZT22" s="515"/>
      <c r="TZU22" s="515"/>
      <c r="TZV22" s="515"/>
      <c r="TZW22" s="515"/>
      <c r="TZX22" s="515"/>
      <c r="TZY22" s="515"/>
      <c r="TZZ22" s="515"/>
      <c r="UAA22" s="515"/>
      <c r="UAB22" s="515"/>
      <c r="UAC22" s="515"/>
      <c r="UAD22" s="515"/>
      <c r="UAE22" s="515"/>
      <c r="UAF22" s="515"/>
      <c r="UAG22" s="515"/>
      <c r="UAH22" s="515"/>
      <c r="UAI22" s="515"/>
      <c r="UAJ22" s="515"/>
      <c r="UAK22" s="515"/>
      <c r="UAL22" s="515"/>
      <c r="UAM22" s="515"/>
      <c r="UAN22" s="515"/>
      <c r="UAO22" s="515"/>
      <c r="UAP22" s="515"/>
      <c r="UAQ22" s="515"/>
      <c r="UAR22" s="515"/>
      <c r="UAS22" s="515"/>
      <c r="UAT22" s="515"/>
      <c r="UAU22" s="515"/>
      <c r="UAV22" s="515"/>
      <c r="UAW22" s="515"/>
      <c r="UAX22" s="515"/>
      <c r="UAY22" s="515"/>
      <c r="UAZ22" s="515"/>
      <c r="UBA22" s="515"/>
      <c r="UBB22" s="515"/>
      <c r="UBC22" s="515"/>
      <c r="UBD22" s="515"/>
      <c r="UBE22" s="515"/>
      <c r="UBF22" s="515"/>
      <c r="UBG22" s="515"/>
      <c r="UBH22" s="515"/>
      <c r="UBI22" s="515"/>
      <c r="UBJ22" s="515"/>
      <c r="UBK22" s="515"/>
      <c r="UBL22" s="515"/>
      <c r="UBM22" s="515"/>
      <c r="UBN22" s="515"/>
      <c r="UBO22" s="515"/>
      <c r="UBP22" s="515"/>
      <c r="UBQ22" s="515"/>
      <c r="UBR22" s="515"/>
      <c r="UBS22" s="515"/>
      <c r="UBT22" s="515"/>
      <c r="UBU22" s="515"/>
      <c r="UBV22" s="515"/>
      <c r="UBW22" s="515"/>
      <c r="UBX22" s="515"/>
      <c r="UBY22" s="515"/>
      <c r="UBZ22" s="515"/>
      <c r="UCA22" s="515"/>
      <c r="UCB22" s="515"/>
      <c r="UCC22" s="515"/>
      <c r="UCD22" s="515"/>
      <c r="UCE22" s="515"/>
      <c r="UCF22" s="515"/>
      <c r="UCG22" s="515"/>
      <c r="UCH22" s="515"/>
      <c r="UCI22" s="515"/>
      <c r="UCJ22" s="515"/>
      <c r="UCK22" s="515"/>
      <c r="UCL22" s="515"/>
      <c r="UCM22" s="515"/>
      <c r="UCN22" s="515"/>
      <c r="UCO22" s="515"/>
      <c r="UCP22" s="515"/>
      <c r="UCQ22" s="515"/>
      <c r="UCR22" s="515"/>
      <c r="UCS22" s="515"/>
      <c r="UCT22" s="515"/>
      <c r="UCU22" s="515"/>
      <c r="UCV22" s="515"/>
      <c r="UCW22" s="515"/>
      <c r="UCX22" s="515"/>
      <c r="UCY22" s="515"/>
      <c r="UCZ22" s="515"/>
      <c r="UDA22" s="515"/>
      <c r="UDB22" s="515"/>
      <c r="UDC22" s="515"/>
      <c r="UDD22" s="515"/>
      <c r="UDE22" s="515"/>
      <c r="UDF22" s="515"/>
      <c r="UDG22" s="515"/>
      <c r="UDH22" s="515"/>
      <c r="UDI22" s="515"/>
      <c r="UDJ22" s="515"/>
      <c r="UDK22" s="515"/>
      <c r="UDL22" s="515"/>
      <c r="UDM22" s="515"/>
      <c r="UDN22" s="515"/>
      <c r="UDO22" s="515"/>
      <c r="UDP22" s="515"/>
      <c r="UDQ22" s="515"/>
      <c r="UDR22" s="515"/>
      <c r="UDS22" s="515"/>
      <c r="UDT22" s="515"/>
      <c r="UDU22" s="515"/>
      <c r="UDV22" s="515"/>
      <c r="UDW22" s="515"/>
      <c r="UDX22" s="515"/>
      <c r="UDY22" s="515"/>
      <c r="UDZ22" s="515"/>
      <c r="UEA22" s="515"/>
      <c r="UEB22" s="515"/>
      <c r="UEC22" s="515"/>
      <c r="UED22" s="515"/>
      <c r="UEE22" s="515"/>
      <c r="UEF22" s="515"/>
      <c r="UEG22" s="515"/>
      <c r="UEH22" s="515"/>
      <c r="UEI22" s="515"/>
      <c r="UEJ22" s="515"/>
      <c r="UEK22" s="515"/>
      <c r="UEL22" s="515"/>
      <c r="UEM22" s="515"/>
      <c r="UEN22" s="515"/>
      <c r="UEO22" s="515"/>
      <c r="UEP22" s="515"/>
      <c r="UEQ22" s="515"/>
      <c r="UER22" s="515"/>
      <c r="UES22" s="515"/>
      <c r="UET22" s="515"/>
      <c r="UEU22" s="515"/>
      <c r="UEV22" s="515"/>
      <c r="UEW22" s="515"/>
      <c r="UEX22" s="515"/>
      <c r="UEY22" s="515"/>
      <c r="UEZ22" s="515"/>
      <c r="UFA22" s="515"/>
      <c r="UFB22" s="515"/>
      <c r="UFC22" s="515"/>
      <c r="UFD22" s="515"/>
      <c r="UFE22" s="515"/>
      <c r="UFF22" s="515"/>
      <c r="UFG22" s="515"/>
      <c r="UFH22" s="515"/>
      <c r="UFI22" s="515"/>
      <c r="UFJ22" s="515"/>
      <c r="UFK22" s="515"/>
      <c r="UFL22" s="515"/>
      <c r="UFM22" s="515"/>
      <c r="UFN22" s="515"/>
      <c r="UFO22" s="515"/>
      <c r="UFP22" s="515"/>
      <c r="UFQ22" s="515"/>
      <c r="UFR22" s="515"/>
      <c r="UFS22" s="515"/>
      <c r="UFT22" s="515"/>
      <c r="UFU22" s="515"/>
      <c r="UFV22" s="515"/>
      <c r="UFW22" s="515"/>
      <c r="UFX22" s="515"/>
      <c r="UFY22" s="515"/>
      <c r="UFZ22" s="515"/>
      <c r="UGA22" s="515"/>
      <c r="UGB22" s="515"/>
      <c r="UGC22" s="515"/>
      <c r="UGD22" s="515"/>
      <c r="UGE22" s="515"/>
      <c r="UGF22" s="515"/>
      <c r="UGG22" s="515"/>
      <c r="UGH22" s="515"/>
      <c r="UGI22" s="515"/>
      <c r="UGJ22" s="515"/>
      <c r="UGK22" s="515"/>
      <c r="UGL22" s="515"/>
      <c r="UGM22" s="515"/>
      <c r="UGN22" s="515"/>
      <c r="UGO22" s="515"/>
      <c r="UGP22" s="515"/>
      <c r="UGQ22" s="515"/>
      <c r="UGR22" s="515"/>
      <c r="UGS22" s="515"/>
      <c r="UGT22" s="515"/>
      <c r="UGU22" s="515"/>
      <c r="UGV22" s="515"/>
      <c r="UGW22" s="515"/>
      <c r="UGX22" s="515"/>
      <c r="UGY22" s="515"/>
      <c r="UGZ22" s="515"/>
      <c r="UHA22" s="515"/>
      <c r="UHB22" s="515"/>
      <c r="UHC22" s="515"/>
      <c r="UHD22" s="515"/>
      <c r="UHE22" s="515"/>
      <c r="UHF22" s="515"/>
      <c r="UHG22" s="515"/>
      <c r="UHH22" s="515"/>
      <c r="UHI22" s="515"/>
      <c r="UHJ22" s="515"/>
      <c r="UHK22" s="515"/>
      <c r="UHL22" s="515"/>
      <c r="UHM22" s="515"/>
      <c r="UHN22" s="515"/>
      <c r="UHO22" s="515"/>
      <c r="UHP22" s="515"/>
      <c r="UHQ22" s="515"/>
      <c r="UHR22" s="515"/>
      <c r="UHS22" s="515"/>
      <c r="UHT22" s="515"/>
      <c r="UHU22" s="515"/>
      <c r="UHV22" s="515"/>
      <c r="UHW22" s="515"/>
      <c r="UHX22" s="515"/>
      <c r="UHY22" s="515"/>
      <c r="UHZ22" s="515"/>
      <c r="UIA22" s="515"/>
      <c r="UIB22" s="515"/>
      <c r="UIC22" s="515"/>
      <c r="UID22" s="515"/>
      <c r="UIE22" s="515"/>
      <c r="UIF22" s="515"/>
      <c r="UIG22" s="515"/>
      <c r="UIH22" s="515"/>
      <c r="UII22" s="515"/>
      <c r="UIJ22" s="515"/>
      <c r="UIK22" s="515"/>
      <c r="UIL22" s="515"/>
      <c r="UIM22" s="515"/>
      <c r="UIN22" s="515"/>
      <c r="UIO22" s="515"/>
      <c r="UIP22" s="515"/>
      <c r="UIQ22" s="515"/>
      <c r="UIR22" s="515"/>
      <c r="UIS22" s="515"/>
      <c r="UIT22" s="515"/>
      <c r="UIU22" s="515"/>
      <c r="UIV22" s="515"/>
      <c r="UIW22" s="515"/>
      <c r="UIX22" s="515"/>
      <c r="UIY22" s="515"/>
      <c r="UIZ22" s="515"/>
      <c r="UJA22" s="515"/>
      <c r="UJB22" s="515"/>
      <c r="UJC22" s="515"/>
      <c r="UJD22" s="515"/>
      <c r="UJE22" s="515"/>
      <c r="UJF22" s="515"/>
      <c r="UJG22" s="515"/>
      <c r="UJH22" s="515"/>
      <c r="UJI22" s="515"/>
      <c r="UJJ22" s="515"/>
      <c r="UJK22" s="515"/>
      <c r="UJL22" s="515"/>
      <c r="UJM22" s="515"/>
      <c r="UJN22" s="515"/>
      <c r="UJO22" s="515"/>
      <c r="UJP22" s="515"/>
      <c r="UJQ22" s="515"/>
      <c r="UJR22" s="515"/>
      <c r="UJS22" s="515"/>
      <c r="UJT22" s="515"/>
      <c r="UJU22" s="515"/>
      <c r="UJV22" s="515"/>
      <c r="UJW22" s="515"/>
      <c r="UJX22" s="515"/>
      <c r="UJY22" s="515"/>
      <c r="UJZ22" s="515"/>
      <c r="UKA22" s="515"/>
      <c r="UKB22" s="515"/>
      <c r="UKC22" s="515"/>
      <c r="UKD22" s="515"/>
      <c r="UKE22" s="515"/>
      <c r="UKF22" s="515"/>
      <c r="UKG22" s="515"/>
      <c r="UKH22" s="515"/>
      <c r="UKI22" s="515"/>
      <c r="UKJ22" s="515"/>
      <c r="UKK22" s="515"/>
      <c r="UKL22" s="515"/>
      <c r="UKM22" s="515"/>
      <c r="UKN22" s="515"/>
      <c r="UKO22" s="515"/>
      <c r="UKP22" s="515"/>
      <c r="UKQ22" s="515"/>
      <c r="UKR22" s="515"/>
      <c r="UKS22" s="515"/>
      <c r="UKT22" s="515"/>
      <c r="UKU22" s="515"/>
      <c r="UKV22" s="515"/>
      <c r="UKW22" s="515"/>
      <c r="UKX22" s="515"/>
      <c r="UKY22" s="515"/>
      <c r="UKZ22" s="515"/>
      <c r="ULA22" s="515"/>
      <c r="ULB22" s="515"/>
      <c r="ULC22" s="515"/>
      <c r="ULD22" s="515"/>
      <c r="ULE22" s="515"/>
      <c r="ULF22" s="515"/>
      <c r="ULG22" s="515"/>
      <c r="ULH22" s="515"/>
      <c r="ULI22" s="515"/>
      <c r="ULJ22" s="515"/>
      <c r="ULK22" s="515"/>
      <c r="ULL22" s="515"/>
      <c r="ULM22" s="515"/>
      <c r="ULN22" s="515"/>
      <c r="ULO22" s="515"/>
      <c r="ULP22" s="515"/>
      <c r="ULQ22" s="515"/>
      <c r="ULR22" s="515"/>
      <c r="ULS22" s="515"/>
      <c r="ULT22" s="515"/>
      <c r="ULU22" s="515"/>
      <c r="ULV22" s="515"/>
      <c r="ULW22" s="515"/>
      <c r="ULX22" s="515"/>
      <c r="ULY22" s="515"/>
      <c r="ULZ22" s="515"/>
      <c r="UMA22" s="515"/>
      <c r="UMB22" s="515"/>
      <c r="UMC22" s="515"/>
      <c r="UMD22" s="515"/>
      <c r="UME22" s="515"/>
      <c r="UMF22" s="515"/>
      <c r="UMG22" s="515"/>
      <c r="UMH22" s="515"/>
      <c r="UMI22" s="515"/>
      <c r="UMJ22" s="515"/>
      <c r="UMK22" s="515"/>
      <c r="UML22" s="515"/>
      <c r="UMM22" s="515"/>
      <c r="UMN22" s="515"/>
      <c r="UMO22" s="515"/>
      <c r="UMP22" s="515"/>
      <c r="UMQ22" s="515"/>
      <c r="UMR22" s="515"/>
      <c r="UMS22" s="515"/>
      <c r="UMT22" s="515"/>
      <c r="UMU22" s="515"/>
      <c r="UMV22" s="515"/>
      <c r="UMW22" s="515"/>
      <c r="UMX22" s="515"/>
      <c r="UMY22" s="515"/>
      <c r="UMZ22" s="515"/>
      <c r="UNA22" s="515"/>
      <c r="UNB22" s="515"/>
      <c r="UNC22" s="515"/>
      <c r="UND22" s="515"/>
      <c r="UNE22" s="515"/>
      <c r="UNF22" s="515"/>
      <c r="UNG22" s="515"/>
      <c r="UNH22" s="515"/>
      <c r="UNI22" s="515"/>
      <c r="UNJ22" s="515"/>
      <c r="UNK22" s="515"/>
      <c r="UNL22" s="515"/>
      <c r="UNM22" s="515"/>
      <c r="UNN22" s="515"/>
      <c r="UNO22" s="515"/>
      <c r="UNP22" s="515"/>
      <c r="UNQ22" s="515"/>
      <c r="UNR22" s="515"/>
      <c r="UNS22" s="515"/>
      <c r="UNT22" s="515"/>
      <c r="UNU22" s="515"/>
      <c r="UNV22" s="515"/>
      <c r="UNW22" s="515"/>
      <c r="UNX22" s="515"/>
      <c r="UNY22" s="515"/>
      <c r="UNZ22" s="515"/>
      <c r="UOA22" s="515"/>
      <c r="UOB22" s="515"/>
      <c r="UOC22" s="515"/>
      <c r="UOD22" s="515"/>
      <c r="UOE22" s="515"/>
      <c r="UOF22" s="515"/>
      <c r="UOG22" s="515"/>
      <c r="UOH22" s="515"/>
      <c r="UOI22" s="515"/>
      <c r="UOJ22" s="515"/>
      <c r="UOK22" s="515"/>
      <c r="UOL22" s="515"/>
      <c r="UOM22" s="515"/>
      <c r="UON22" s="515"/>
      <c r="UOO22" s="515"/>
      <c r="UOP22" s="515"/>
      <c r="UOQ22" s="515"/>
      <c r="UOR22" s="515"/>
      <c r="UOS22" s="515"/>
      <c r="UOT22" s="515"/>
      <c r="UOU22" s="515"/>
      <c r="UOV22" s="515"/>
      <c r="UOW22" s="515"/>
      <c r="UOX22" s="515"/>
      <c r="UOY22" s="515"/>
      <c r="UOZ22" s="515"/>
      <c r="UPA22" s="515"/>
      <c r="UPB22" s="515"/>
      <c r="UPC22" s="515"/>
      <c r="UPD22" s="515"/>
      <c r="UPE22" s="515"/>
      <c r="UPF22" s="515"/>
      <c r="UPG22" s="515"/>
      <c r="UPH22" s="515"/>
      <c r="UPI22" s="515"/>
      <c r="UPJ22" s="515"/>
      <c r="UPK22" s="515"/>
      <c r="UPL22" s="515"/>
      <c r="UPM22" s="515"/>
      <c r="UPN22" s="515"/>
      <c r="UPO22" s="515"/>
      <c r="UPP22" s="515"/>
      <c r="UPQ22" s="515"/>
      <c r="UPR22" s="515"/>
      <c r="UPS22" s="515"/>
      <c r="UPT22" s="515"/>
      <c r="UPU22" s="515"/>
      <c r="UPV22" s="515"/>
      <c r="UPW22" s="515"/>
      <c r="UPX22" s="515"/>
      <c r="UPY22" s="515"/>
      <c r="UPZ22" s="515"/>
      <c r="UQA22" s="515"/>
      <c r="UQB22" s="515"/>
      <c r="UQC22" s="515"/>
      <c r="UQD22" s="515"/>
      <c r="UQE22" s="515"/>
      <c r="UQF22" s="515"/>
      <c r="UQG22" s="515"/>
      <c r="UQH22" s="515"/>
      <c r="UQI22" s="515"/>
      <c r="UQJ22" s="515"/>
      <c r="UQK22" s="515"/>
      <c r="UQL22" s="515"/>
      <c r="UQM22" s="515"/>
      <c r="UQN22" s="515"/>
      <c r="UQO22" s="515"/>
      <c r="UQP22" s="515"/>
      <c r="UQQ22" s="515"/>
      <c r="UQR22" s="515"/>
      <c r="UQS22" s="515"/>
      <c r="UQT22" s="515"/>
      <c r="UQU22" s="515"/>
      <c r="UQV22" s="515"/>
      <c r="UQW22" s="515"/>
      <c r="UQX22" s="515"/>
      <c r="UQY22" s="515"/>
      <c r="UQZ22" s="515"/>
      <c r="URA22" s="515"/>
      <c r="URB22" s="515"/>
      <c r="URC22" s="515"/>
      <c r="URD22" s="515"/>
      <c r="URE22" s="515"/>
      <c r="URF22" s="515"/>
      <c r="URG22" s="515"/>
      <c r="URH22" s="515"/>
      <c r="URI22" s="515"/>
      <c r="URJ22" s="515"/>
      <c r="URK22" s="515"/>
      <c r="URL22" s="515"/>
      <c r="URM22" s="515"/>
      <c r="URN22" s="515"/>
      <c r="URO22" s="515"/>
      <c r="URP22" s="515"/>
      <c r="URQ22" s="515"/>
      <c r="URR22" s="515"/>
      <c r="URS22" s="515"/>
      <c r="URT22" s="515"/>
      <c r="URU22" s="515"/>
      <c r="URV22" s="515"/>
      <c r="URW22" s="515"/>
      <c r="URX22" s="515"/>
      <c r="URY22" s="515"/>
      <c r="URZ22" s="515"/>
      <c r="USA22" s="515"/>
      <c r="USB22" s="515"/>
      <c r="USC22" s="515"/>
      <c r="USD22" s="515"/>
      <c r="USE22" s="515"/>
      <c r="USF22" s="515"/>
      <c r="USG22" s="515"/>
      <c r="USH22" s="515"/>
      <c r="USI22" s="515"/>
      <c r="USJ22" s="515"/>
      <c r="USK22" s="515"/>
      <c r="USL22" s="515"/>
      <c r="USM22" s="515"/>
      <c r="USN22" s="515"/>
      <c r="USO22" s="515"/>
      <c r="USP22" s="515"/>
      <c r="USQ22" s="515"/>
      <c r="USR22" s="515"/>
      <c r="USS22" s="515"/>
      <c r="UST22" s="515"/>
      <c r="USU22" s="515"/>
      <c r="USV22" s="515"/>
      <c r="USW22" s="515"/>
      <c r="USX22" s="515"/>
      <c r="USY22" s="515"/>
      <c r="USZ22" s="515"/>
      <c r="UTA22" s="515"/>
      <c r="UTB22" s="515"/>
      <c r="UTC22" s="515"/>
      <c r="UTD22" s="515"/>
      <c r="UTE22" s="515"/>
      <c r="UTF22" s="515"/>
      <c r="UTG22" s="515"/>
      <c r="UTH22" s="515"/>
      <c r="UTI22" s="515"/>
      <c r="UTJ22" s="515"/>
      <c r="UTK22" s="515"/>
      <c r="UTL22" s="515"/>
      <c r="UTM22" s="515"/>
      <c r="UTN22" s="515"/>
      <c r="UTO22" s="515"/>
      <c r="UTP22" s="515"/>
      <c r="UTQ22" s="515"/>
      <c r="UTR22" s="515"/>
      <c r="UTS22" s="515"/>
      <c r="UTT22" s="515"/>
      <c r="UTU22" s="515"/>
      <c r="UTV22" s="515"/>
      <c r="UTW22" s="515"/>
      <c r="UTX22" s="515"/>
      <c r="UTY22" s="515"/>
      <c r="UTZ22" s="515"/>
      <c r="UUA22" s="515"/>
      <c r="UUB22" s="515"/>
      <c r="UUC22" s="515"/>
      <c r="UUD22" s="515"/>
      <c r="UUE22" s="515"/>
      <c r="UUF22" s="515"/>
      <c r="UUG22" s="515"/>
      <c r="UUH22" s="515"/>
      <c r="UUI22" s="515"/>
      <c r="UUJ22" s="515"/>
      <c r="UUK22" s="515"/>
      <c r="UUL22" s="515"/>
      <c r="UUM22" s="515"/>
      <c r="UUN22" s="515"/>
      <c r="UUO22" s="515"/>
      <c r="UUP22" s="515"/>
      <c r="UUQ22" s="515"/>
      <c r="UUR22" s="515"/>
      <c r="UUS22" s="515"/>
      <c r="UUT22" s="515"/>
      <c r="UUU22" s="515"/>
      <c r="UUV22" s="515"/>
      <c r="UUW22" s="515"/>
      <c r="UUX22" s="515"/>
      <c r="UUY22" s="515"/>
      <c r="UUZ22" s="515"/>
      <c r="UVA22" s="515"/>
      <c r="UVB22" s="515"/>
      <c r="UVC22" s="515"/>
      <c r="UVD22" s="515"/>
      <c r="UVE22" s="515"/>
      <c r="UVF22" s="515"/>
      <c r="UVG22" s="515"/>
      <c r="UVH22" s="515"/>
      <c r="UVI22" s="515"/>
      <c r="UVJ22" s="515"/>
      <c r="UVK22" s="515"/>
      <c r="UVL22" s="515"/>
      <c r="UVM22" s="515"/>
      <c r="UVN22" s="515"/>
      <c r="UVO22" s="515"/>
      <c r="UVP22" s="515"/>
      <c r="UVQ22" s="515"/>
      <c r="UVR22" s="515"/>
      <c r="UVS22" s="515"/>
      <c r="UVT22" s="515"/>
      <c r="UVU22" s="515"/>
      <c r="UVV22" s="515"/>
      <c r="UVW22" s="515"/>
      <c r="UVX22" s="515"/>
      <c r="UVY22" s="515"/>
      <c r="UVZ22" s="515"/>
      <c r="UWA22" s="515"/>
      <c r="UWB22" s="515"/>
      <c r="UWC22" s="515"/>
      <c r="UWD22" s="515"/>
      <c r="UWE22" s="515"/>
      <c r="UWF22" s="515"/>
      <c r="UWG22" s="515"/>
      <c r="UWH22" s="515"/>
      <c r="UWI22" s="515"/>
      <c r="UWJ22" s="515"/>
      <c r="UWK22" s="515"/>
      <c r="UWL22" s="515"/>
      <c r="UWM22" s="515"/>
      <c r="UWN22" s="515"/>
      <c r="UWO22" s="515"/>
      <c r="UWP22" s="515"/>
      <c r="UWQ22" s="515"/>
      <c r="UWR22" s="515"/>
      <c r="UWS22" s="515"/>
      <c r="UWT22" s="515"/>
      <c r="UWU22" s="515"/>
      <c r="UWV22" s="515"/>
      <c r="UWW22" s="515"/>
      <c r="UWX22" s="515"/>
      <c r="UWY22" s="515"/>
      <c r="UWZ22" s="515"/>
      <c r="UXA22" s="515"/>
      <c r="UXB22" s="515"/>
      <c r="UXC22" s="515"/>
      <c r="UXD22" s="515"/>
      <c r="UXE22" s="515"/>
      <c r="UXF22" s="515"/>
      <c r="UXG22" s="515"/>
      <c r="UXH22" s="515"/>
      <c r="UXI22" s="515"/>
      <c r="UXJ22" s="515"/>
      <c r="UXK22" s="515"/>
      <c r="UXL22" s="515"/>
      <c r="UXM22" s="515"/>
      <c r="UXN22" s="515"/>
      <c r="UXO22" s="515"/>
      <c r="UXP22" s="515"/>
      <c r="UXQ22" s="515"/>
      <c r="UXR22" s="515"/>
      <c r="UXS22" s="515"/>
      <c r="UXT22" s="515"/>
      <c r="UXU22" s="515"/>
      <c r="UXV22" s="515"/>
      <c r="UXW22" s="515"/>
      <c r="UXX22" s="515"/>
      <c r="UXY22" s="515"/>
      <c r="UXZ22" s="515"/>
      <c r="UYA22" s="515"/>
      <c r="UYB22" s="515"/>
      <c r="UYC22" s="515"/>
      <c r="UYD22" s="515"/>
      <c r="UYE22" s="515"/>
      <c r="UYF22" s="515"/>
      <c r="UYG22" s="515"/>
      <c r="UYH22" s="515"/>
      <c r="UYI22" s="515"/>
      <c r="UYJ22" s="515"/>
      <c r="UYK22" s="515"/>
      <c r="UYL22" s="515"/>
      <c r="UYM22" s="515"/>
      <c r="UYN22" s="515"/>
      <c r="UYO22" s="515"/>
      <c r="UYP22" s="515"/>
      <c r="UYQ22" s="515"/>
      <c r="UYR22" s="515"/>
      <c r="UYS22" s="515"/>
      <c r="UYT22" s="515"/>
      <c r="UYU22" s="515"/>
      <c r="UYV22" s="515"/>
      <c r="UYW22" s="515"/>
      <c r="UYX22" s="515"/>
      <c r="UYY22" s="515"/>
      <c r="UYZ22" s="515"/>
      <c r="UZA22" s="515"/>
      <c r="UZB22" s="515"/>
      <c r="UZC22" s="515"/>
      <c r="UZD22" s="515"/>
      <c r="UZE22" s="515"/>
      <c r="UZF22" s="515"/>
      <c r="UZG22" s="515"/>
      <c r="UZH22" s="515"/>
      <c r="UZI22" s="515"/>
      <c r="UZJ22" s="515"/>
      <c r="UZK22" s="515"/>
      <c r="UZL22" s="515"/>
      <c r="UZM22" s="515"/>
      <c r="UZN22" s="515"/>
      <c r="UZO22" s="515"/>
      <c r="UZP22" s="515"/>
      <c r="UZQ22" s="515"/>
      <c r="UZR22" s="515"/>
      <c r="UZS22" s="515"/>
      <c r="UZT22" s="515"/>
      <c r="UZU22" s="515"/>
      <c r="UZV22" s="515"/>
      <c r="UZW22" s="515"/>
      <c r="UZX22" s="515"/>
      <c r="UZY22" s="515"/>
      <c r="UZZ22" s="515"/>
      <c r="VAA22" s="515"/>
      <c r="VAB22" s="515"/>
      <c r="VAC22" s="515"/>
      <c r="VAD22" s="515"/>
      <c r="VAE22" s="515"/>
      <c r="VAF22" s="515"/>
      <c r="VAG22" s="515"/>
      <c r="VAH22" s="515"/>
      <c r="VAI22" s="515"/>
      <c r="VAJ22" s="515"/>
      <c r="VAK22" s="515"/>
      <c r="VAL22" s="515"/>
      <c r="VAM22" s="515"/>
      <c r="VAN22" s="515"/>
      <c r="VAO22" s="515"/>
      <c r="VAP22" s="515"/>
      <c r="VAQ22" s="515"/>
      <c r="VAR22" s="515"/>
      <c r="VAS22" s="515"/>
      <c r="VAT22" s="515"/>
      <c r="VAU22" s="515"/>
      <c r="VAV22" s="515"/>
      <c r="VAW22" s="515"/>
      <c r="VAX22" s="515"/>
      <c r="VAY22" s="515"/>
      <c r="VAZ22" s="515"/>
      <c r="VBA22" s="515"/>
      <c r="VBB22" s="515"/>
      <c r="VBC22" s="515"/>
      <c r="VBD22" s="515"/>
      <c r="VBE22" s="515"/>
      <c r="VBF22" s="515"/>
      <c r="VBG22" s="515"/>
      <c r="VBH22" s="515"/>
      <c r="VBI22" s="515"/>
      <c r="VBJ22" s="515"/>
      <c r="VBK22" s="515"/>
      <c r="VBL22" s="515"/>
      <c r="VBM22" s="515"/>
      <c r="VBN22" s="515"/>
      <c r="VBO22" s="515"/>
      <c r="VBP22" s="515"/>
      <c r="VBQ22" s="515"/>
      <c r="VBR22" s="515"/>
      <c r="VBS22" s="515"/>
      <c r="VBT22" s="515"/>
      <c r="VBU22" s="515"/>
      <c r="VBV22" s="515"/>
      <c r="VBW22" s="515"/>
      <c r="VBX22" s="515"/>
      <c r="VBY22" s="515"/>
      <c r="VBZ22" s="515"/>
      <c r="VCA22" s="515"/>
      <c r="VCB22" s="515"/>
      <c r="VCC22" s="515"/>
      <c r="VCD22" s="515"/>
      <c r="VCE22" s="515"/>
      <c r="VCF22" s="515"/>
      <c r="VCG22" s="515"/>
      <c r="VCH22" s="515"/>
      <c r="VCI22" s="515"/>
      <c r="VCJ22" s="515"/>
      <c r="VCK22" s="515"/>
      <c r="VCL22" s="515"/>
      <c r="VCM22" s="515"/>
      <c r="VCN22" s="515"/>
      <c r="VCO22" s="515"/>
      <c r="VCP22" s="515"/>
      <c r="VCQ22" s="515"/>
      <c r="VCR22" s="515"/>
      <c r="VCS22" s="515"/>
      <c r="VCT22" s="515"/>
      <c r="VCU22" s="515"/>
      <c r="VCV22" s="515"/>
      <c r="VCW22" s="515"/>
      <c r="VCX22" s="515"/>
      <c r="VCY22" s="515"/>
      <c r="VCZ22" s="515"/>
      <c r="VDA22" s="515"/>
      <c r="VDB22" s="515"/>
      <c r="VDC22" s="515"/>
      <c r="VDD22" s="515"/>
      <c r="VDE22" s="515"/>
      <c r="VDF22" s="515"/>
      <c r="VDG22" s="515"/>
      <c r="VDH22" s="515"/>
      <c r="VDI22" s="515"/>
      <c r="VDJ22" s="515"/>
      <c r="VDK22" s="515"/>
      <c r="VDL22" s="515"/>
      <c r="VDM22" s="515"/>
      <c r="VDN22" s="515"/>
      <c r="VDO22" s="515"/>
      <c r="VDP22" s="515"/>
      <c r="VDQ22" s="515"/>
      <c r="VDR22" s="515"/>
      <c r="VDS22" s="515"/>
      <c r="VDT22" s="515"/>
      <c r="VDU22" s="515"/>
      <c r="VDV22" s="515"/>
      <c r="VDW22" s="515"/>
      <c r="VDX22" s="515"/>
      <c r="VDY22" s="515"/>
      <c r="VDZ22" s="515"/>
      <c r="VEA22" s="515"/>
      <c r="VEB22" s="515"/>
      <c r="VEC22" s="515"/>
      <c r="VED22" s="515"/>
      <c r="VEE22" s="515"/>
      <c r="VEF22" s="515"/>
      <c r="VEG22" s="515"/>
      <c r="VEH22" s="515"/>
      <c r="VEI22" s="515"/>
      <c r="VEJ22" s="515"/>
      <c r="VEK22" s="515"/>
      <c r="VEL22" s="515"/>
      <c r="VEM22" s="515"/>
      <c r="VEN22" s="515"/>
      <c r="VEO22" s="515"/>
      <c r="VEP22" s="515"/>
      <c r="VEQ22" s="515"/>
      <c r="VER22" s="515"/>
      <c r="VES22" s="515"/>
      <c r="VET22" s="515"/>
      <c r="VEU22" s="515"/>
      <c r="VEV22" s="515"/>
      <c r="VEW22" s="515"/>
      <c r="VEX22" s="515"/>
      <c r="VEY22" s="515"/>
      <c r="VEZ22" s="515"/>
      <c r="VFA22" s="515"/>
      <c r="VFB22" s="515"/>
      <c r="VFC22" s="515"/>
      <c r="VFD22" s="515"/>
      <c r="VFE22" s="515"/>
      <c r="VFF22" s="515"/>
      <c r="VFG22" s="515"/>
      <c r="VFH22" s="515"/>
      <c r="VFI22" s="515"/>
      <c r="VFJ22" s="515"/>
      <c r="VFK22" s="515"/>
      <c r="VFL22" s="515"/>
      <c r="VFM22" s="515"/>
      <c r="VFN22" s="515"/>
      <c r="VFO22" s="515"/>
      <c r="VFP22" s="515"/>
      <c r="VFQ22" s="515"/>
      <c r="VFR22" s="515"/>
      <c r="VFS22" s="515"/>
      <c r="VFT22" s="515"/>
      <c r="VFU22" s="515"/>
      <c r="VFV22" s="515"/>
      <c r="VFW22" s="515"/>
      <c r="VFX22" s="515"/>
      <c r="VFY22" s="515"/>
      <c r="VFZ22" s="515"/>
      <c r="VGA22" s="515"/>
      <c r="VGB22" s="515"/>
      <c r="VGC22" s="515"/>
      <c r="VGD22" s="515"/>
      <c r="VGE22" s="515"/>
      <c r="VGF22" s="515"/>
      <c r="VGG22" s="515"/>
      <c r="VGH22" s="515"/>
      <c r="VGI22" s="515"/>
      <c r="VGJ22" s="515"/>
      <c r="VGK22" s="515"/>
      <c r="VGL22" s="515"/>
      <c r="VGM22" s="515"/>
      <c r="VGN22" s="515"/>
      <c r="VGO22" s="515"/>
      <c r="VGP22" s="515"/>
      <c r="VGQ22" s="515"/>
      <c r="VGR22" s="515"/>
      <c r="VGS22" s="515"/>
      <c r="VGT22" s="515"/>
      <c r="VGU22" s="515"/>
      <c r="VGV22" s="515"/>
      <c r="VGW22" s="515"/>
      <c r="VGX22" s="515"/>
      <c r="VGY22" s="515"/>
      <c r="VGZ22" s="515"/>
      <c r="VHA22" s="515"/>
      <c r="VHB22" s="515"/>
      <c r="VHC22" s="515"/>
      <c r="VHD22" s="515"/>
      <c r="VHE22" s="515"/>
      <c r="VHF22" s="515"/>
      <c r="VHG22" s="515"/>
      <c r="VHH22" s="515"/>
      <c r="VHI22" s="515"/>
      <c r="VHJ22" s="515"/>
      <c r="VHK22" s="515"/>
      <c r="VHL22" s="515"/>
      <c r="VHM22" s="515"/>
      <c r="VHN22" s="515"/>
      <c r="VHO22" s="515"/>
      <c r="VHP22" s="515"/>
      <c r="VHQ22" s="515"/>
      <c r="VHR22" s="515"/>
      <c r="VHS22" s="515"/>
      <c r="VHT22" s="515"/>
      <c r="VHU22" s="515"/>
      <c r="VHV22" s="515"/>
      <c r="VHW22" s="515"/>
      <c r="VHX22" s="515"/>
      <c r="VHY22" s="515"/>
      <c r="VHZ22" s="515"/>
      <c r="VIA22" s="515"/>
      <c r="VIB22" s="515"/>
      <c r="VIC22" s="515"/>
      <c r="VID22" s="515"/>
      <c r="VIE22" s="515"/>
      <c r="VIF22" s="515"/>
      <c r="VIG22" s="515"/>
      <c r="VIH22" s="515"/>
      <c r="VII22" s="515"/>
      <c r="VIJ22" s="515"/>
      <c r="VIK22" s="515"/>
      <c r="VIL22" s="515"/>
      <c r="VIM22" s="515"/>
      <c r="VIN22" s="515"/>
      <c r="VIO22" s="515"/>
      <c r="VIP22" s="515"/>
      <c r="VIQ22" s="515"/>
      <c r="VIR22" s="515"/>
      <c r="VIS22" s="515"/>
      <c r="VIT22" s="515"/>
      <c r="VIU22" s="515"/>
      <c r="VIV22" s="515"/>
      <c r="VIW22" s="515"/>
      <c r="VIX22" s="515"/>
      <c r="VIY22" s="515"/>
      <c r="VIZ22" s="515"/>
      <c r="VJA22" s="515"/>
      <c r="VJB22" s="515"/>
      <c r="VJC22" s="515"/>
      <c r="VJD22" s="515"/>
      <c r="VJE22" s="515"/>
      <c r="VJF22" s="515"/>
      <c r="VJG22" s="515"/>
      <c r="VJH22" s="515"/>
      <c r="VJI22" s="515"/>
      <c r="VJJ22" s="515"/>
      <c r="VJK22" s="515"/>
      <c r="VJL22" s="515"/>
      <c r="VJM22" s="515"/>
      <c r="VJN22" s="515"/>
      <c r="VJO22" s="515"/>
      <c r="VJP22" s="515"/>
      <c r="VJQ22" s="515"/>
      <c r="VJR22" s="515"/>
      <c r="VJS22" s="515"/>
      <c r="VJT22" s="515"/>
      <c r="VJU22" s="515"/>
      <c r="VJV22" s="515"/>
      <c r="VJW22" s="515"/>
      <c r="VJX22" s="515"/>
      <c r="VJY22" s="515"/>
      <c r="VJZ22" s="515"/>
      <c r="VKA22" s="515"/>
      <c r="VKB22" s="515"/>
      <c r="VKC22" s="515"/>
      <c r="VKD22" s="515"/>
      <c r="VKE22" s="515"/>
      <c r="VKF22" s="515"/>
      <c r="VKG22" s="515"/>
      <c r="VKH22" s="515"/>
      <c r="VKI22" s="515"/>
      <c r="VKJ22" s="515"/>
      <c r="VKK22" s="515"/>
      <c r="VKL22" s="515"/>
      <c r="VKM22" s="515"/>
      <c r="VKN22" s="515"/>
      <c r="VKO22" s="515"/>
      <c r="VKP22" s="515"/>
      <c r="VKQ22" s="515"/>
      <c r="VKR22" s="515"/>
      <c r="VKS22" s="515"/>
      <c r="VKT22" s="515"/>
      <c r="VKU22" s="515"/>
      <c r="VKV22" s="515"/>
      <c r="VKW22" s="515"/>
      <c r="VKX22" s="515"/>
      <c r="VKY22" s="515"/>
      <c r="VKZ22" s="515"/>
      <c r="VLA22" s="515"/>
      <c r="VLB22" s="515"/>
      <c r="VLC22" s="515"/>
      <c r="VLD22" s="515"/>
      <c r="VLE22" s="515"/>
      <c r="VLF22" s="515"/>
      <c r="VLG22" s="515"/>
      <c r="VLH22" s="515"/>
      <c r="VLI22" s="515"/>
      <c r="VLJ22" s="515"/>
      <c r="VLK22" s="515"/>
      <c r="VLL22" s="515"/>
      <c r="VLM22" s="515"/>
      <c r="VLN22" s="515"/>
      <c r="VLO22" s="515"/>
      <c r="VLP22" s="515"/>
      <c r="VLQ22" s="515"/>
      <c r="VLR22" s="515"/>
      <c r="VLS22" s="515"/>
      <c r="VLT22" s="515"/>
      <c r="VLU22" s="515"/>
      <c r="VLV22" s="515"/>
      <c r="VLW22" s="515"/>
      <c r="VLX22" s="515"/>
      <c r="VLY22" s="515"/>
      <c r="VLZ22" s="515"/>
      <c r="VMA22" s="515"/>
      <c r="VMB22" s="515"/>
      <c r="VMC22" s="515"/>
      <c r="VMD22" s="515"/>
      <c r="VME22" s="515"/>
      <c r="VMF22" s="515"/>
      <c r="VMG22" s="515"/>
      <c r="VMH22" s="515"/>
      <c r="VMI22" s="515"/>
      <c r="VMJ22" s="515"/>
      <c r="VMK22" s="515"/>
      <c r="VML22" s="515"/>
      <c r="VMM22" s="515"/>
      <c r="VMN22" s="515"/>
      <c r="VMO22" s="515"/>
      <c r="VMP22" s="515"/>
      <c r="VMQ22" s="515"/>
      <c r="VMR22" s="515"/>
      <c r="VMS22" s="515"/>
      <c r="VMT22" s="515"/>
      <c r="VMU22" s="515"/>
      <c r="VMV22" s="515"/>
      <c r="VMW22" s="515"/>
      <c r="VMX22" s="515"/>
      <c r="VMY22" s="515"/>
      <c r="VMZ22" s="515"/>
      <c r="VNA22" s="515"/>
      <c r="VNB22" s="515"/>
      <c r="VNC22" s="515"/>
      <c r="VND22" s="515"/>
      <c r="VNE22" s="515"/>
      <c r="VNF22" s="515"/>
      <c r="VNG22" s="515"/>
      <c r="VNH22" s="515"/>
      <c r="VNI22" s="515"/>
      <c r="VNJ22" s="515"/>
      <c r="VNK22" s="515"/>
      <c r="VNL22" s="515"/>
      <c r="VNM22" s="515"/>
      <c r="VNN22" s="515"/>
      <c r="VNO22" s="515"/>
      <c r="VNP22" s="515"/>
      <c r="VNQ22" s="515"/>
      <c r="VNR22" s="515"/>
      <c r="VNS22" s="515"/>
      <c r="VNT22" s="515"/>
      <c r="VNU22" s="515"/>
      <c r="VNV22" s="515"/>
      <c r="VNW22" s="515"/>
      <c r="VNX22" s="515"/>
      <c r="VNY22" s="515"/>
      <c r="VNZ22" s="515"/>
      <c r="VOA22" s="515"/>
      <c r="VOB22" s="515"/>
      <c r="VOC22" s="515"/>
      <c r="VOD22" s="515"/>
      <c r="VOE22" s="515"/>
      <c r="VOF22" s="515"/>
      <c r="VOG22" s="515"/>
      <c r="VOH22" s="515"/>
      <c r="VOI22" s="515"/>
      <c r="VOJ22" s="515"/>
      <c r="VOK22" s="515"/>
      <c r="VOL22" s="515"/>
      <c r="VOM22" s="515"/>
      <c r="VON22" s="515"/>
      <c r="VOO22" s="515"/>
      <c r="VOP22" s="515"/>
      <c r="VOQ22" s="515"/>
      <c r="VOR22" s="515"/>
      <c r="VOS22" s="515"/>
      <c r="VOT22" s="515"/>
      <c r="VOU22" s="515"/>
      <c r="VOV22" s="515"/>
      <c r="VOW22" s="515"/>
      <c r="VOX22" s="515"/>
      <c r="VOY22" s="515"/>
      <c r="VOZ22" s="515"/>
      <c r="VPA22" s="515"/>
      <c r="VPB22" s="515"/>
      <c r="VPC22" s="515"/>
      <c r="VPD22" s="515"/>
      <c r="VPE22" s="515"/>
      <c r="VPF22" s="515"/>
      <c r="VPG22" s="515"/>
      <c r="VPH22" s="515"/>
      <c r="VPI22" s="515"/>
      <c r="VPJ22" s="515"/>
      <c r="VPK22" s="515"/>
      <c r="VPL22" s="515"/>
      <c r="VPM22" s="515"/>
      <c r="VPN22" s="515"/>
      <c r="VPO22" s="515"/>
      <c r="VPP22" s="515"/>
      <c r="VPQ22" s="515"/>
      <c r="VPR22" s="515"/>
      <c r="VPS22" s="515"/>
      <c r="VPT22" s="515"/>
      <c r="VPU22" s="515"/>
      <c r="VPV22" s="515"/>
      <c r="VPW22" s="515"/>
      <c r="VPX22" s="515"/>
      <c r="VPY22" s="515"/>
      <c r="VPZ22" s="515"/>
      <c r="VQA22" s="515"/>
      <c r="VQB22" s="515"/>
      <c r="VQC22" s="515"/>
      <c r="VQD22" s="515"/>
      <c r="VQE22" s="515"/>
      <c r="VQF22" s="515"/>
      <c r="VQG22" s="515"/>
      <c r="VQH22" s="515"/>
      <c r="VQI22" s="515"/>
      <c r="VQJ22" s="515"/>
      <c r="VQK22" s="515"/>
      <c r="VQL22" s="515"/>
      <c r="VQM22" s="515"/>
      <c r="VQN22" s="515"/>
      <c r="VQO22" s="515"/>
      <c r="VQP22" s="515"/>
      <c r="VQQ22" s="515"/>
      <c r="VQR22" s="515"/>
      <c r="VQS22" s="515"/>
      <c r="VQT22" s="515"/>
      <c r="VQU22" s="515"/>
      <c r="VQV22" s="515"/>
      <c r="VQW22" s="515"/>
      <c r="VQX22" s="515"/>
      <c r="VQY22" s="515"/>
      <c r="VQZ22" s="515"/>
      <c r="VRA22" s="515"/>
      <c r="VRB22" s="515"/>
      <c r="VRC22" s="515"/>
      <c r="VRD22" s="515"/>
      <c r="VRE22" s="515"/>
      <c r="VRF22" s="515"/>
      <c r="VRG22" s="515"/>
      <c r="VRH22" s="515"/>
      <c r="VRI22" s="515"/>
      <c r="VRJ22" s="515"/>
      <c r="VRK22" s="515"/>
      <c r="VRL22" s="515"/>
      <c r="VRM22" s="515"/>
      <c r="VRN22" s="515"/>
      <c r="VRO22" s="515"/>
      <c r="VRP22" s="515"/>
      <c r="VRQ22" s="515"/>
      <c r="VRR22" s="515"/>
      <c r="VRS22" s="515"/>
      <c r="VRT22" s="515"/>
      <c r="VRU22" s="515"/>
      <c r="VRV22" s="515"/>
      <c r="VRW22" s="515"/>
      <c r="VRX22" s="515"/>
      <c r="VRY22" s="515"/>
      <c r="VRZ22" s="515"/>
      <c r="VSA22" s="515"/>
      <c r="VSB22" s="515"/>
      <c r="VSC22" s="515"/>
      <c r="VSD22" s="515"/>
      <c r="VSE22" s="515"/>
      <c r="VSF22" s="515"/>
      <c r="VSG22" s="515"/>
      <c r="VSH22" s="515"/>
      <c r="VSI22" s="515"/>
      <c r="VSJ22" s="515"/>
      <c r="VSK22" s="515"/>
      <c r="VSL22" s="515"/>
      <c r="VSM22" s="515"/>
      <c r="VSN22" s="515"/>
      <c r="VSO22" s="515"/>
      <c r="VSP22" s="515"/>
      <c r="VSQ22" s="515"/>
      <c r="VSR22" s="515"/>
      <c r="VSS22" s="515"/>
      <c r="VST22" s="515"/>
      <c r="VSU22" s="515"/>
      <c r="VSV22" s="515"/>
      <c r="VSW22" s="515"/>
      <c r="VSX22" s="515"/>
      <c r="VSY22" s="515"/>
      <c r="VSZ22" s="515"/>
      <c r="VTA22" s="515"/>
      <c r="VTB22" s="515"/>
      <c r="VTC22" s="515"/>
      <c r="VTD22" s="515"/>
      <c r="VTE22" s="515"/>
      <c r="VTF22" s="515"/>
      <c r="VTG22" s="515"/>
      <c r="VTH22" s="515"/>
      <c r="VTI22" s="515"/>
      <c r="VTJ22" s="515"/>
      <c r="VTK22" s="515"/>
      <c r="VTL22" s="515"/>
      <c r="VTM22" s="515"/>
      <c r="VTN22" s="515"/>
      <c r="VTO22" s="515"/>
      <c r="VTP22" s="515"/>
      <c r="VTQ22" s="515"/>
      <c r="VTR22" s="515"/>
      <c r="VTS22" s="515"/>
      <c r="VTT22" s="515"/>
      <c r="VTU22" s="515"/>
      <c r="VTV22" s="515"/>
      <c r="VTW22" s="515"/>
      <c r="VTX22" s="515"/>
      <c r="VTY22" s="515"/>
      <c r="VTZ22" s="515"/>
      <c r="VUA22" s="515"/>
      <c r="VUB22" s="515"/>
      <c r="VUC22" s="515"/>
      <c r="VUD22" s="515"/>
      <c r="VUE22" s="515"/>
      <c r="VUF22" s="515"/>
      <c r="VUG22" s="515"/>
      <c r="VUH22" s="515"/>
      <c r="VUI22" s="515"/>
      <c r="VUJ22" s="515"/>
      <c r="VUK22" s="515"/>
      <c r="VUL22" s="515"/>
      <c r="VUM22" s="515"/>
      <c r="VUN22" s="515"/>
      <c r="VUO22" s="515"/>
      <c r="VUP22" s="515"/>
      <c r="VUQ22" s="515"/>
      <c r="VUR22" s="515"/>
      <c r="VUS22" s="515"/>
      <c r="VUT22" s="515"/>
      <c r="VUU22" s="515"/>
      <c r="VUV22" s="515"/>
      <c r="VUW22" s="515"/>
      <c r="VUX22" s="515"/>
      <c r="VUY22" s="515"/>
      <c r="VUZ22" s="515"/>
      <c r="VVA22" s="515"/>
      <c r="VVB22" s="515"/>
      <c r="VVC22" s="515"/>
      <c r="VVD22" s="515"/>
      <c r="VVE22" s="515"/>
      <c r="VVF22" s="515"/>
      <c r="VVG22" s="515"/>
      <c r="VVH22" s="515"/>
      <c r="VVI22" s="515"/>
      <c r="VVJ22" s="515"/>
      <c r="VVK22" s="515"/>
      <c r="VVL22" s="515"/>
      <c r="VVM22" s="515"/>
      <c r="VVN22" s="515"/>
      <c r="VVO22" s="515"/>
      <c r="VVP22" s="515"/>
      <c r="VVQ22" s="515"/>
      <c r="VVR22" s="515"/>
      <c r="VVS22" s="515"/>
      <c r="VVT22" s="515"/>
      <c r="VVU22" s="515"/>
      <c r="VVV22" s="515"/>
      <c r="VVW22" s="515"/>
      <c r="VVX22" s="515"/>
      <c r="VVY22" s="515"/>
      <c r="VVZ22" s="515"/>
      <c r="VWA22" s="515"/>
      <c r="VWB22" s="515"/>
      <c r="VWC22" s="515"/>
      <c r="VWD22" s="515"/>
      <c r="VWE22" s="515"/>
      <c r="VWF22" s="515"/>
      <c r="VWG22" s="515"/>
      <c r="VWH22" s="515"/>
      <c r="VWI22" s="515"/>
      <c r="VWJ22" s="515"/>
      <c r="VWK22" s="515"/>
      <c r="VWL22" s="515"/>
      <c r="VWM22" s="515"/>
      <c r="VWN22" s="515"/>
      <c r="VWO22" s="515"/>
      <c r="VWP22" s="515"/>
      <c r="VWQ22" s="515"/>
      <c r="VWR22" s="515"/>
      <c r="VWS22" s="515"/>
      <c r="VWT22" s="515"/>
      <c r="VWU22" s="515"/>
      <c r="VWV22" s="515"/>
      <c r="VWW22" s="515"/>
      <c r="VWX22" s="515"/>
      <c r="VWY22" s="515"/>
      <c r="VWZ22" s="515"/>
      <c r="VXA22" s="515"/>
      <c r="VXB22" s="515"/>
      <c r="VXC22" s="515"/>
      <c r="VXD22" s="515"/>
      <c r="VXE22" s="515"/>
      <c r="VXF22" s="515"/>
      <c r="VXG22" s="515"/>
      <c r="VXH22" s="515"/>
      <c r="VXI22" s="515"/>
      <c r="VXJ22" s="515"/>
      <c r="VXK22" s="515"/>
      <c r="VXL22" s="515"/>
      <c r="VXM22" s="515"/>
      <c r="VXN22" s="515"/>
      <c r="VXO22" s="515"/>
      <c r="VXP22" s="515"/>
      <c r="VXQ22" s="515"/>
      <c r="VXR22" s="515"/>
      <c r="VXS22" s="515"/>
      <c r="VXT22" s="515"/>
      <c r="VXU22" s="515"/>
      <c r="VXV22" s="515"/>
      <c r="VXW22" s="515"/>
      <c r="VXX22" s="515"/>
      <c r="VXY22" s="515"/>
      <c r="VXZ22" s="515"/>
      <c r="VYA22" s="515"/>
      <c r="VYB22" s="515"/>
      <c r="VYC22" s="515"/>
      <c r="VYD22" s="515"/>
      <c r="VYE22" s="515"/>
      <c r="VYF22" s="515"/>
      <c r="VYG22" s="515"/>
      <c r="VYH22" s="515"/>
      <c r="VYI22" s="515"/>
      <c r="VYJ22" s="515"/>
      <c r="VYK22" s="515"/>
      <c r="VYL22" s="515"/>
      <c r="VYM22" s="515"/>
      <c r="VYN22" s="515"/>
      <c r="VYO22" s="515"/>
      <c r="VYP22" s="515"/>
      <c r="VYQ22" s="515"/>
      <c r="VYR22" s="515"/>
      <c r="VYS22" s="515"/>
      <c r="VYT22" s="515"/>
      <c r="VYU22" s="515"/>
      <c r="VYV22" s="515"/>
      <c r="VYW22" s="515"/>
      <c r="VYX22" s="515"/>
      <c r="VYY22" s="515"/>
      <c r="VYZ22" s="515"/>
      <c r="VZA22" s="515"/>
      <c r="VZB22" s="515"/>
      <c r="VZC22" s="515"/>
      <c r="VZD22" s="515"/>
      <c r="VZE22" s="515"/>
      <c r="VZF22" s="515"/>
      <c r="VZG22" s="515"/>
      <c r="VZH22" s="515"/>
      <c r="VZI22" s="515"/>
      <c r="VZJ22" s="515"/>
      <c r="VZK22" s="515"/>
      <c r="VZL22" s="515"/>
      <c r="VZM22" s="515"/>
      <c r="VZN22" s="515"/>
      <c r="VZO22" s="515"/>
      <c r="VZP22" s="515"/>
      <c r="VZQ22" s="515"/>
      <c r="VZR22" s="515"/>
      <c r="VZS22" s="515"/>
      <c r="VZT22" s="515"/>
      <c r="VZU22" s="515"/>
      <c r="VZV22" s="515"/>
      <c r="VZW22" s="515"/>
      <c r="VZX22" s="515"/>
      <c r="VZY22" s="515"/>
      <c r="VZZ22" s="515"/>
      <c r="WAA22" s="515"/>
      <c r="WAB22" s="515"/>
      <c r="WAC22" s="515"/>
      <c r="WAD22" s="515"/>
      <c r="WAE22" s="515"/>
      <c r="WAF22" s="515"/>
      <c r="WAG22" s="515"/>
      <c r="WAH22" s="515"/>
      <c r="WAI22" s="515"/>
      <c r="WAJ22" s="515"/>
      <c r="WAK22" s="515"/>
      <c r="WAL22" s="515"/>
      <c r="WAM22" s="515"/>
      <c r="WAN22" s="515"/>
      <c r="WAO22" s="515"/>
      <c r="WAP22" s="515"/>
      <c r="WAQ22" s="515"/>
      <c r="WAR22" s="515"/>
      <c r="WAS22" s="515"/>
      <c r="WAT22" s="515"/>
      <c r="WAU22" s="515"/>
      <c r="WAV22" s="515"/>
      <c r="WAW22" s="515"/>
      <c r="WAX22" s="515"/>
      <c r="WAY22" s="515"/>
      <c r="WAZ22" s="515"/>
      <c r="WBA22" s="515"/>
      <c r="WBB22" s="515"/>
      <c r="WBC22" s="515"/>
      <c r="WBD22" s="515"/>
      <c r="WBE22" s="515"/>
      <c r="WBF22" s="515"/>
      <c r="WBG22" s="515"/>
      <c r="WBH22" s="515"/>
      <c r="WBI22" s="515"/>
      <c r="WBJ22" s="515"/>
      <c r="WBK22" s="515"/>
      <c r="WBL22" s="515"/>
      <c r="WBM22" s="515"/>
      <c r="WBN22" s="515"/>
      <c r="WBO22" s="515"/>
      <c r="WBP22" s="515"/>
      <c r="WBQ22" s="515"/>
      <c r="WBR22" s="515"/>
      <c r="WBS22" s="515"/>
      <c r="WBT22" s="515"/>
      <c r="WBU22" s="515"/>
      <c r="WBV22" s="515"/>
      <c r="WBW22" s="515"/>
      <c r="WBX22" s="515"/>
      <c r="WBY22" s="515"/>
      <c r="WBZ22" s="515"/>
      <c r="WCA22" s="515"/>
      <c r="WCB22" s="515"/>
      <c r="WCC22" s="515"/>
      <c r="WCD22" s="515"/>
      <c r="WCE22" s="515"/>
      <c r="WCF22" s="515"/>
      <c r="WCG22" s="515"/>
      <c r="WCH22" s="515"/>
      <c r="WCI22" s="515"/>
      <c r="WCJ22" s="515"/>
      <c r="WCK22" s="515"/>
      <c r="WCL22" s="515"/>
      <c r="WCM22" s="515"/>
      <c r="WCN22" s="515"/>
      <c r="WCO22" s="515"/>
      <c r="WCP22" s="515"/>
      <c r="WCQ22" s="515"/>
      <c r="WCR22" s="515"/>
      <c r="WCS22" s="515"/>
      <c r="WCT22" s="515"/>
      <c r="WCU22" s="515"/>
      <c r="WCV22" s="515"/>
      <c r="WCW22" s="515"/>
      <c r="WCX22" s="515"/>
      <c r="WCY22" s="515"/>
      <c r="WCZ22" s="515"/>
      <c r="WDA22" s="515"/>
      <c r="WDB22" s="515"/>
      <c r="WDC22" s="515"/>
      <c r="WDD22" s="515"/>
      <c r="WDE22" s="515"/>
      <c r="WDF22" s="515"/>
      <c r="WDG22" s="515"/>
      <c r="WDH22" s="515"/>
      <c r="WDI22" s="515"/>
      <c r="WDJ22" s="515"/>
      <c r="WDK22" s="515"/>
      <c r="WDL22" s="515"/>
      <c r="WDM22" s="515"/>
      <c r="WDN22" s="515"/>
      <c r="WDO22" s="515"/>
      <c r="WDP22" s="515"/>
      <c r="WDQ22" s="515"/>
      <c r="WDR22" s="515"/>
      <c r="WDS22" s="515"/>
      <c r="WDT22" s="515"/>
      <c r="WDU22" s="515"/>
      <c r="WDV22" s="515"/>
      <c r="WDW22" s="515"/>
      <c r="WDX22" s="515"/>
      <c r="WDY22" s="515"/>
      <c r="WDZ22" s="515"/>
      <c r="WEA22" s="515"/>
      <c r="WEB22" s="515"/>
      <c r="WEC22" s="515"/>
      <c r="WED22" s="515"/>
      <c r="WEE22" s="515"/>
      <c r="WEF22" s="515"/>
      <c r="WEG22" s="515"/>
      <c r="WEH22" s="515"/>
      <c r="WEI22" s="515"/>
      <c r="WEJ22" s="515"/>
      <c r="WEK22" s="515"/>
      <c r="WEL22" s="515"/>
      <c r="WEM22" s="515"/>
      <c r="WEN22" s="515"/>
      <c r="WEO22" s="515"/>
      <c r="WEP22" s="515"/>
      <c r="WEQ22" s="515"/>
      <c r="WER22" s="515"/>
      <c r="WES22" s="515"/>
      <c r="WET22" s="515"/>
      <c r="WEU22" s="515"/>
      <c r="WEV22" s="515"/>
      <c r="WEW22" s="515"/>
      <c r="WEX22" s="515"/>
      <c r="WEY22" s="515"/>
      <c r="WEZ22" s="515"/>
      <c r="WFA22" s="515"/>
      <c r="WFB22" s="515"/>
      <c r="WFC22" s="515"/>
      <c r="WFD22" s="515"/>
      <c r="WFE22" s="515"/>
      <c r="WFF22" s="515"/>
      <c r="WFG22" s="515"/>
      <c r="WFH22" s="515"/>
      <c r="WFI22" s="515"/>
      <c r="WFJ22" s="515"/>
      <c r="WFK22" s="515"/>
      <c r="WFL22" s="515"/>
      <c r="WFM22" s="515"/>
      <c r="WFN22" s="515"/>
      <c r="WFO22" s="515"/>
      <c r="WFP22" s="515"/>
      <c r="WFQ22" s="515"/>
      <c r="WFR22" s="515"/>
      <c r="WFS22" s="515"/>
      <c r="WFT22" s="515"/>
      <c r="WFU22" s="515"/>
      <c r="WFV22" s="515"/>
      <c r="WFW22" s="515"/>
      <c r="WFX22" s="515"/>
      <c r="WFY22" s="515"/>
      <c r="WFZ22" s="515"/>
      <c r="WGA22" s="515"/>
      <c r="WGB22" s="515"/>
      <c r="WGC22" s="515"/>
      <c r="WGD22" s="515"/>
      <c r="WGE22" s="515"/>
      <c r="WGF22" s="515"/>
      <c r="WGG22" s="515"/>
      <c r="WGH22" s="515"/>
      <c r="WGI22" s="515"/>
      <c r="WGJ22" s="515"/>
      <c r="WGK22" s="515"/>
      <c r="WGL22" s="515"/>
      <c r="WGM22" s="515"/>
      <c r="WGN22" s="515"/>
      <c r="WGO22" s="515"/>
      <c r="WGP22" s="515"/>
      <c r="WGQ22" s="515"/>
      <c r="WGR22" s="515"/>
      <c r="WGS22" s="515"/>
      <c r="WGT22" s="515"/>
      <c r="WGU22" s="515"/>
      <c r="WGV22" s="515"/>
      <c r="WGW22" s="515"/>
      <c r="WGX22" s="515"/>
      <c r="WGY22" s="515"/>
      <c r="WGZ22" s="515"/>
      <c r="WHA22" s="515"/>
      <c r="WHB22" s="515"/>
      <c r="WHC22" s="515"/>
      <c r="WHD22" s="515"/>
      <c r="WHE22" s="515"/>
      <c r="WHF22" s="515"/>
      <c r="WHG22" s="515"/>
      <c r="WHH22" s="515"/>
      <c r="WHI22" s="515"/>
      <c r="WHJ22" s="515"/>
      <c r="WHK22" s="515"/>
      <c r="WHL22" s="515"/>
      <c r="WHM22" s="515"/>
      <c r="WHN22" s="515"/>
      <c r="WHO22" s="515"/>
      <c r="WHP22" s="515"/>
      <c r="WHQ22" s="515"/>
      <c r="WHR22" s="515"/>
      <c r="WHS22" s="515"/>
      <c r="WHT22" s="515"/>
      <c r="WHU22" s="515"/>
      <c r="WHV22" s="515"/>
      <c r="WHW22" s="515"/>
      <c r="WHX22" s="515"/>
      <c r="WHY22" s="515"/>
      <c r="WHZ22" s="515"/>
      <c r="WIA22" s="515"/>
      <c r="WIB22" s="515"/>
      <c r="WIC22" s="515"/>
      <c r="WID22" s="515"/>
      <c r="WIE22" s="515"/>
      <c r="WIF22" s="515"/>
      <c r="WIG22" s="515"/>
      <c r="WIH22" s="515"/>
      <c r="WII22" s="515"/>
      <c r="WIJ22" s="515"/>
      <c r="WIK22" s="515"/>
      <c r="WIL22" s="515"/>
      <c r="WIM22" s="515"/>
      <c r="WIN22" s="515"/>
      <c r="WIO22" s="515"/>
      <c r="WIP22" s="515"/>
      <c r="WIQ22" s="515"/>
      <c r="WIR22" s="515"/>
      <c r="WIS22" s="515"/>
      <c r="WIT22" s="515"/>
      <c r="WIU22" s="515"/>
      <c r="WIV22" s="515"/>
      <c r="WIW22" s="515"/>
      <c r="WIX22" s="515"/>
      <c r="WIY22" s="515"/>
      <c r="WIZ22" s="515"/>
      <c r="WJA22" s="515"/>
      <c r="WJB22" s="515"/>
      <c r="WJC22" s="515"/>
      <c r="WJD22" s="515"/>
      <c r="WJE22" s="515"/>
      <c r="WJF22" s="515"/>
      <c r="WJG22" s="515"/>
      <c r="WJH22" s="515"/>
      <c r="WJI22" s="515"/>
      <c r="WJJ22" s="515"/>
      <c r="WJK22" s="515"/>
      <c r="WJL22" s="515"/>
      <c r="WJM22" s="515"/>
      <c r="WJN22" s="515"/>
      <c r="WJO22" s="515"/>
      <c r="WJP22" s="515"/>
      <c r="WJQ22" s="515"/>
      <c r="WJR22" s="515"/>
      <c r="WJS22" s="515"/>
      <c r="WJT22" s="515"/>
      <c r="WJU22" s="515"/>
      <c r="WJV22" s="515"/>
      <c r="WJW22" s="515"/>
      <c r="WJX22" s="515"/>
      <c r="WJY22" s="515"/>
      <c r="WJZ22" s="515"/>
      <c r="WKA22" s="515"/>
      <c r="WKB22" s="515"/>
      <c r="WKC22" s="515"/>
      <c r="WKD22" s="515"/>
      <c r="WKE22" s="515"/>
      <c r="WKF22" s="515"/>
      <c r="WKG22" s="515"/>
      <c r="WKH22" s="515"/>
      <c r="WKI22" s="515"/>
      <c r="WKJ22" s="515"/>
      <c r="WKK22" s="515"/>
      <c r="WKL22" s="515"/>
      <c r="WKM22" s="515"/>
      <c r="WKN22" s="515"/>
      <c r="WKO22" s="515"/>
      <c r="WKP22" s="515"/>
      <c r="WKQ22" s="515"/>
      <c r="WKR22" s="515"/>
      <c r="WKS22" s="515"/>
      <c r="WKT22" s="515"/>
      <c r="WKU22" s="515"/>
      <c r="WKV22" s="515"/>
      <c r="WKW22" s="515"/>
      <c r="WKX22" s="515"/>
      <c r="WKY22" s="515"/>
      <c r="WKZ22" s="515"/>
      <c r="WLA22" s="515"/>
      <c r="WLB22" s="515"/>
      <c r="WLC22" s="515"/>
      <c r="WLD22" s="515"/>
      <c r="WLE22" s="515"/>
      <c r="WLF22" s="515"/>
      <c r="WLG22" s="515"/>
      <c r="WLH22" s="515"/>
      <c r="WLI22" s="515"/>
      <c r="WLJ22" s="515"/>
      <c r="WLK22" s="515"/>
      <c r="WLL22" s="515"/>
      <c r="WLM22" s="515"/>
      <c r="WLN22" s="515"/>
      <c r="WLO22" s="515"/>
      <c r="WLP22" s="515"/>
      <c r="WLQ22" s="515"/>
      <c r="WLR22" s="515"/>
      <c r="WLS22" s="515"/>
      <c r="WLT22" s="515"/>
      <c r="WLU22" s="515"/>
      <c r="WLV22" s="515"/>
      <c r="WLW22" s="515"/>
      <c r="WLX22" s="515"/>
      <c r="WLY22" s="515"/>
      <c r="WLZ22" s="515"/>
      <c r="WMA22" s="515"/>
      <c r="WMB22" s="515"/>
      <c r="WMC22" s="515"/>
      <c r="WMD22" s="515"/>
      <c r="WME22" s="515"/>
      <c r="WMF22" s="515"/>
      <c r="WMG22" s="515"/>
      <c r="WMH22" s="515"/>
      <c r="WMI22" s="515"/>
      <c r="WMJ22" s="515"/>
      <c r="WMK22" s="515"/>
      <c r="WML22" s="515"/>
      <c r="WMM22" s="515"/>
      <c r="WMN22" s="515"/>
      <c r="WMO22" s="515"/>
      <c r="WMP22" s="515"/>
      <c r="WMQ22" s="515"/>
      <c r="WMR22" s="515"/>
      <c r="WMS22" s="515"/>
      <c r="WMT22" s="515"/>
      <c r="WMU22" s="515"/>
      <c r="WMV22" s="515"/>
      <c r="WMW22" s="515"/>
      <c r="WMX22" s="515"/>
      <c r="WMY22" s="515"/>
      <c r="WMZ22" s="515"/>
      <c r="WNA22" s="515"/>
      <c r="WNB22" s="515"/>
      <c r="WNC22" s="515"/>
      <c r="WND22" s="515"/>
      <c r="WNE22" s="515"/>
      <c r="WNF22" s="515"/>
      <c r="WNG22" s="515"/>
      <c r="WNH22" s="515"/>
      <c r="WNI22" s="515"/>
      <c r="WNJ22" s="515"/>
      <c r="WNK22" s="515"/>
      <c r="WNL22" s="515"/>
      <c r="WNM22" s="515"/>
      <c r="WNN22" s="515"/>
      <c r="WNO22" s="515"/>
      <c r="WNP22" s="515"/>
      <c r="WNQ22" s="515"/>
      <c r="WNR22" s="515"/>
      <c r="WNS22" s="515"/>
      <c r="WNT22" s="515"/>
      <c r="WNU22" s="515"/>
      <c r="WNV22" s="515"/>
      <c r="WNW22" s="515"/>
      <c r="WNX22" s="515"/>
      <c r="WNY22" s="515"/>
      <c r="WNZ22" s="515"/>
      <c r="WOA22" s="515"/>
      <c r="WOB22" s="515"/>
      <c r="WOC22" s="515"/>
      <c r="WOD22" s="515"/>
      <c r="WOE22" s="515"/>
      <c r="WOF22" s="515"/>
      <c r="WOG22" s="515"/>
      <c r="WOH22" s="515"/>
      <c r="WOI22" s="515"/>
      <c r="WOJ22" s="515"/>
      <c r="WOK22" s="515"/>
      <c r="WOL22" s="515"/>
      <c r="WOM22" s="515"/>
      <c r="WON22" s="515"/>
      <c r="WOO22" s="515"/>
      <c r="WOP22" s="515"/>
      <c r="WOQ22" s="515"/>
      <c r="WOR22" s="515"/>
      <c r="WOS22" s="515"/>
      <c r="WOT22" s="515"/>
      <c r="WOU22" s="515"/>
      <c r="WOV22" s="515"/>
      <c r="WOW22" s="515"/>
      <c r="WOX22" s="515"/>
      <c r="WOY22" s="515"/>
      <c r="WOZ22" s="515"/>
      <c r="WPA22" s="515"/>
      <c r="WPB22" s="515"/>
      <c r="WPC22" s="515"/>
      <c r="WPD22" s="515"/>
      <c r="WPE22" s="515"/>
      <c r="WPF22" s="515"/>
      <c r="WPG22" s="515"/>
      <c r="WPH22" s="515"/>
      <c r="WPI22" s="515"/>
      <c r="WPJ22" s="515"/>
      <c r="WPK22" s="515"/>
      <c r="WPL22" s="515"/>
      <c r="WPM22" s="515"/>
      <c r="WPN22" s="515"/>
      <c r="WPO22" s="515"/>
      <c r="WPP22" s="515"/>
      <c r="WPQ22" s="515"/>
      <c r="WPR22" s="515"/>
      <c r="WPS22" s="515"/>
      <c r="WPT22" s="515"/>
      <c r="WPU22" s="515"/>
      <c r="WPV22" s="515"/>
      <c r="WPW22" s="515"/>
      <c r="WPX22" s="515"/>
      <c r="WPY22" s="515"/>
      <c r="WPZ22" s="515"/>
      <c r="WQA22" s="515"/>
      <c r="WQB22" s="515"/>
      <c r="WQC22" s="515"/>
      <c r="WQD22" s="515"/>
      <c r="WQE22" s="515"/>
      <c r="WQF22" s="515"/>
      <c r="WQG22" s="515"/>
      <c r="WQH22" s="515"/>
      <c r="WQI22" s="515"/>
      <c r="WQJ22" s="515"/>
      <c r="WQK22" s="515"/>
      <c r="WQL22" s="515"/>
      <c r="WQM22" s="515"/>
      <c r="WQN22" s="515"/>
      <c r="WQO22" s="515"/>
      <c r="WQP22" s="515"/>
      <c r="WQQ22" s="515"/>
      <c r="WQR22" s="515"/>
      <c r="WQS22" s="515"/>
      <c r="WQT22" s="515"/>
      <c r="WQU22" s="515"/>
      <c r="WQV22" s="515"/>
      <c r="WQW22" s="515"/>
      <c r="WQX22" s="515"/>
      <c r="WQY22" s="515"/>
      <c r="WQZ22" s="515"/>
      <c r="WRA22" s="515"/>
      <c r="WRB22" s="515"/>
      <c r="WRC22" s="515"/>
      <c r="WRD22" s="515"/>
      <c r="WRE22" s="515"/>
      <c r="WRF22" s="515"/>
      <c r="WRG22" s="515"/>
      <c r="WRH22" s="515"/>
      <c r="WRI22" s="515"/>
      <c r="WRJ22" s="515"/>
      <c r="WRK22" s="515"/>
      <c r="WRL22" s="515"/>
      <c r="WRM22" s="515"/>
      <c r="WRN22" s="515"/>
      <c r="WRO22" s="515"/>
      <c r="WRP22" s="515"/>
      <c r="WRQ22" s="515"/>
      <c r="WRR22" s="515"/>
      <c r="WRS22" s="515"/>
      <c r="WRT22" s="515"/>
      <c r="WRU22" s="515"/>
      <c r="WRV22" s="515"/>
      <c r="WRW22" s="515"/>
      <c r="WRX22" s="515"/>
      <c r="WRY22" s="515"/>
      <c r="WRZ22" s="515"/>
      <c r="WSA22" s="515"/>
      <c r="WSB22" s="515"/>
      <c r="WSC22" s="515"/>
      <c r="WSD22" s="515"/>
      <c r="WSE22" s="515"/>
      <c r="WSF22" s="515"/>
      <c r="WSG22" s="515"/>
      <c r="WSH22" s="515"/>
      <c r="WSI22" s="515"/>
      <c r="WSJ22" s="515"/>
      <c r="WSK22" s="515"/>
      <c r="WSL22" s="515"/>
      <c r="WSM22" s="515"/>
      <c r="WSN22" s="515"/>
      <c r="WSO22" s="515"/>
      <c r="WSP22" s="515"/>
      <c r="WSQ22" s="515"/>
      <c r="WSR22" s="515"/>
      <c r="WSS22" s="515"/>
      <c r="WST22" s="515"/>
      <c r="WSU22" s="515"/>
      <c r="WSV22" s="515"/>
      <c r="WSW22" s="515"/>
      <c r="WSX22" s="515"/>
      <c r="WSY22" s="515"/>
      <c r="WSZ22" s="515"/>
      <c r="WTA22" s="515"/>
      <c r="WTB22" s="515"/>
      <c r="WTC22" s="515"/>
      <c r="WTD22" s="515"/>
      <c r="WTE22" s="515"/>
      <c r="WTF22" s="515"/>
      <c r="WTG22" s="515"/>
      <c r="WTH22" s="515"/>
      <c r="WTI22" s="515"/>
      <c r="WTJ22" s="515"/>
      <c r="WTK22" s="515"/>
      <c r="WTL22" s="515"/>
      <c r="WTM22" s="515"/>
      <c r="WTN22" s="515"/>
      <c r="WTO22" s="515"/>
      <c r="WTP22" s="515"/>
      <c r="WTQ22" s="515"/>
      <c r="WTR22" s="515"/>
      <c r="WTS22" s="515"/>
      <c r="WTT22" s="515"/>
      <c r="WTU22" s="515"/>
      <c r="WTV22" s="515"/>
      <c r="WTW22" s="515"/>
      <c r="WTX22" s="515"/>
      <c r="WTY22" s="515"/>
      <c r="WTZ22" s="515"/>
      <c r="WUA22" s="515"/>
      <c r="WUB22" s="515"/>
      <c r="WUC22" s="515"/>
      <c r="WUD22" s="515"/>
      <c r="WUE22" s="515"/>
      <c r="WUF22" s="515"/>
      <c r="WUG22" s="515"/>
      <c r="WUH22" s="515"/>
      <c r="WUI22" s="515"/>
      <c r="WUJ22" s="515"/>
      <c r="WUK22" s="515"/>
      <c r="WUL22" s="515"/>
      <c r="WUM22" s="515"/>
      <c r="WUN22" s="515"/>
      <c r="WUO22" s="515"/>
      <c r="WUP22" s="515"/>
      <c r="WUQ22" s="515"/>
      <c r="WUR22" s="515"/>
      <c r="WUS22" s="515"/>
      <c r="WUT22" s="515"/>
      <c r="WUU22" s="515"/>
      <c r="WUV22" s="515"/>
      <c r="WUW22" s="515"/>
      <c r="WUX22" s="515"/>
      <c r="WUY22" s="515"/>
      <c r="WUZ22" s="515"/>
      <c r="WVA22" s="515"/>
      <c r="WVB22" s="515"/>
      <c r="WVC22" s="515"/>
      <c r="WVD22" s="515"/>
      <c r="WVE22" s="515"/>
      <c r="WVF22" s="515"/>
      <c r="WVG22" s="515"/>
      <c r="WVH22" s="515"/>
      <c r="WVI22" s="515"/>
      <c r="WVJ22" s="515"/>
      <c r="WVK22" s="515"/>
      <c r="WVL22" s="515"/>
      <c r="WVM22" s="515"/>
      <c r="WVN22" s="515"/>
      <c r="WVO22" s="515"/>
      <c r="WVP22" s="515"/>
      <c r="WVQ22" s="515"/>
      <c r="WVR22" s="515"/>
      <c r="WVS22" s="515"/>
      <c r="WVT22" s="515"/>
      <c r="WVU22" s="515"/>
      <c r="WVV22" s="515"/>
      <c r="WVW22" s="515"/>
      <c r="WVX22" s="515"/>
      <c r="WVY22" s="515"/>
      <c r="WVZ22" s="515"/>
      <c r="WWA22" s="515"/>
      <c r="WWB22" s="515"/>
      <c r="WWC22" s="515"/>
      <c r="WWD22" s="515"/>
      <c r="WWE22" s="515"/>
      <c r="WWF22" s="515"/>
      <c r="WWG22" s="515"/>
      <c r="WWH22" s="515"/>
      <c r="WWI22" s="515"/>
      <c r="WWJ22" s="515"/>
      <c r="WWK22" s="515"/>
      <c r="WWL22" s="515"/>
      <c r="WWM22" s="515"/>
      <c r="WWN22" s="515"/>
      <c r="WWO22" s="515"/>
      <c r="WWP22" s="515"/>
      <c r="WWQ22" s="515"/>
      <c r="WWR22" s="515"/>
      <c r="WWS22" s="515"/>
      <c r="WWT22" s="515"/>
      <c r="WWU22" s="515"/>
      <c r="WWV22" s="515"/>
      <c r="WWW22" s="515"/>
      <c r="WWX22" s="515"/>
      <c r="WWY22" s="515"/>
      <c r="WWZ22" s="515"/>
      <c r="WXA22" s="515"/>
      <c r="WXB22" s="515"/>
      <c r="WXC22" s="515"/>
      <c r="WXD22" s="515"/>
      <c r="WXE22" s="515"/>
      <c r="WXF22" s="515"/>
      <c r="WXG22" s="515"/>
      <c r="WXH22" s="515"/>
      <c r="WXI22" s="515"/>
      <c r="WXJ22" s="515"/>
      <c r="WXK22" s="515"/>
      <c r="WXL22" s="515"/>
      <c r="WXM22" s="515"/>
      <c r="WXN22" s="515"/>
      <c r="WXO22" s="515"/>
      <c r="WXP22" s="515"/>
      <c r="WXQ22" s="515"/>
      <c r="WXR22" s="515"/>
      <c r="WXS22" s="515"/>
      <c r="WXT22" s="515"/>
      <c r="WXU22" s="515"/>
      <c r="WXV22" s="515"/>
      <c r="WXW22" s="515"/>
      <c r="WXX22" s="515"/>
      <c r="WXY22" s="515"/>
      <c r="WXZ22" s="515"/>
      <c r="WYA22" s="515"/>
      <c r="WYB22" s="515"/>
      <c r="WYC22" s="515"/>
      <c r="WYD22" s="515"/>
      <c r="WYE22" s="515"/>
      <c r="WYF22" s="515"/>
      <c r="WYG22" s="515"/>
      <c r="WYH22" s="515"/>
      <c r="WYI22" s="515"/>
      <c r="WYJ22" s="515"/>
      <c r="WYK22" s="515"/>
      <c r="WYL22" s="515"/>
      <c r="WYM22" s="515"/>
      <c r="WYN22" s="515"/>
      <c r="WYO22" s="515"/>
      <c r="WYP22" s="515"/>
      <c r="WYQ22" s="515"/>
      <c r="WYR22" s="515"/>
      <c r="WYS22" s="515"/>
      <c r="WYT22" s="515"/>
      <c r="WYU22" s="515"/>
      <c r="WYV22" s="515"/>
      <c r="WYW22" s="515"/>
      <c r="WYX22" s="515"/>
      <c r="WYY22" s="515"/>
      <c r="WYZ22" s="515"/>
      <c r="WZA22" s="515"/>
      <c r="WZB22" s="515"/>
      <c r="WZC22" s="515"/>
      <c r="WZD22" s="515"/>
      <c r="WZE22" s="515"/>
      <c r="WZF22" s="515"/>
      <c r="WZG22" s="515"/>
      <c r="WZH22" s="515"/>
      <c r="WZI22" s="515"/>
      <c r="WZJ22" s="515"/>
      <c r="WZK22" s="515"/>
      <c r="WZL22" s="515"/>
      <c r="WZM22" s="515"/>
      <c r="WZN22" s="515"/>
      <c r="WZO22" s="515"/>
      <c r="WZP22" s="515"/>
      <c r="WZQ22" s="515"/>
      <c r="WZR22" s="515"/>
      <c r="WZS22" s="515"/>
      <c r="WZT22" s="515"/>
      <c r="WZU22" s="515"/>
      <c r="WZV22" s="515"/>
      <c r="WZW22" s="515"/>
      <c r="WZX22" s="515"/>
      <c r="WZY22" s="515"/>
      <c r="WZZ22" s="515"/>
      <c r="XAA22" s="515"/>
      <c r="XAB22" s="515"/>
      <c r="XAC22" s="515"/>
      <c r="XAD22" s="515"/>
      <c r="XAE22" s="515"/>
      <c r="XAF22" s="515"/>
      <c r="XAG22" s="515"/>
      <c r="XAH22" s="515"/>
      <c r="XAI22" s="515"/>
      <c r="XAJ22" s="515"/>
      <c r="XAK22" s="515"/>
      <c r="XAL22" s="515"/>
      <c r="XAM22" s="515"/>
      <c r="XAN22" s="515"/>
      <c r="XAO22" s="515"/>
      <c r="XAP22" s="515"/>
      <c r="XAQ22" s="515"/>
      <c r="XAR22" s="515"/>
      <c r="XAS22" s="515"/>
      <c r="XAT22" s="515"/>
      <c r="XAU22" s="515"/>
      <c r="XAV22" s="515"/>
      <c r="XAW22" s="515"/>
      <c r="XAX22" s="515"/>
      <c r="XAY22" s="515"/>
      <c r="XAZ22" s="515"/>
      <c r="XBA22" s="515"/>
      <c r="XBB22" s="515"/>
      <c r="XBC22" s="515"/>
      <c r="XBD22" s="515"/>
      <c r="XBE22" s="515"/>
      <c r="XBF22" s="515"/>
      <c r="XBG22" s="515"/>
      <c r="XBH22" s="515"/>
      <c r="XBI22" s="515"/>
      <c r="XBJ22" s="515"/>
      <c r="XBK22" s="515"/>
      <c r="XBL22" s="515"/>
      <c r="XBM22" s="515"/>
      <c r="XBN22" s="515"/>
      <c r="XBO22" s="515"/>
      <c r="XBP22" s="515"/>
      <c r="XBQ22" s="515"/>
      <c r="XBR22" s="515"/>
      <c r="XBS22" s="515"/>
      <c r="XBT22" s="515"/>
      <c r="XBU22" s="515"/>
      <c r="XBV22" s="515"/>
      <c r="XBW22" s="515"/>
      <c r="XBX22" s="515"/>
      <c r="XBY22" s="515"/>
      <c r="XBZ22" s="515"/>
      <c r="XCA22" s="515"/>
      <c r="XCB22" s="515"/>
      <c r="XCC22" s="515"/>
      <c r="XCD22" s="515"/>
      <c r="XCE22" s="515"/>
      <c r="XCF22" s="515"/>
      <c r="XCG22" s="515"/>
      <c r="XCH22" s="515"/>
      <c r="XCI22" s="515"/>
      <c r="XCJ22" s="515"/>
      <c r="XCK22" s="515"/>
      <c r="XCL22" s="515"/>
      <c r="XCM22" s="515"/>
      <c r="XCN22" s="515"/>
      <c r="XCO22" s="515"/>
      <c r="XCP22" s="515"/>
      <c r="XCQ22" s="515"/>
      <c r="XCR22" s="515"/>
      <c r="XCS22" s="515"/>
      <c r="XCT22" s="515"/>
      <c r="XCU22" s="515"/>
      <c r="XCV22" s="515"/>
      <c r="XCW22" s="515"/>
      <c r="XCX22" s="515"/>
      <c r="XCY22" s="515"/>
      <c r="XCZ22" s="515"/>
      <c r="XDA22" s="515"/>
      <c r="XDB22" s="515"/>
      <c r="XDC22" s="515"/>
      <c r="XDD22" s="515"/>
      <c r="XDE22" s="515"/>
      <c r="XDF22" s="515"/>
      <c r="XDG22" s="515"/>
      <c r="XDH22" s="515"/>
      <c r="XDI22" s="515"/>
      <c r="XDJ22" s="515"/>
      <c r="XDK22" s="515"/>
      <c r="XDL22" s="515"/>
      <c r="XDM22" s="515"/>
      <c r="XDN22" s="515"/>
      <c r="XDO22" s="515"/>
      <c r="XDP22" s="515"/>
      <c r="XDQ22" s="515"/>
      <c r="XDR22" s="515"/>
      <c r="XDS22" s="515"/>
      <c r="XDT22" s="515"/>
      <c r="XDU22" s="515"/>
      <c r="XDV22" s="515"/>
      <c r="XDW22" s="515"/>
      <c r="XDX22" s="515"/>
      <c r="XDY22" s="515"/>
      <c r="XDZ22" s="515"/>
      <c r="XEA22" s="515"/>
      <c r="XEB22" s="515"/>
      <c r="XEC22" s="515"/>
      <c r="XED22" s="515"/>
      <c r="XEE22" s="515"/>
      <c r="XEF22" s="515"/>
      <c r="XEG22" s="515"/>
      <c r="XEH22" s="515"/>
      <c r="XEI22" s="515"/>
      <c r="XEJ22" s="515"/>
      <c r="XEK22" s="515"/>
      <c r="XEL22" s="515"/>
      <c r="XEM22" s="515"/>
      <c r="XEN22" s="515"/>
      <c r="XEO22" s="515"/>
      <c r="XEP22" s="515"/>
      <c r="XEQ22" s="515"/>
      <c r="XER22" s="515"/>
      <c r="XES22" s="515"/>
      <c r="XET22" s="515"/>
      <c r="XEU22" s="515"/>
      <c r="XEV22" s="515"/>
      <c r="XEW22" s="515"/>
      <c r="XEX22" s="515"/>
      <c r="XEY22" s="515"/>
      <c r="XEZ22" s="515"/>
      <c r="XFA22" s="515"/>
      <c r="XFB22" s="515"/>
      <c r="XFC22" s="515"/>
      <c r="XFD22" s="515"/>
    </row>
    <row r="23" spans="1:16384" ht="15.75">
      <c r="A23" s="517" t="s">
        <v>335</v>
      </c>
      <c r="B23" s="518"/>
      <c r="C23" s="518"/>
      <c r="D23" s="518"/>
      <c r="E23" s="518"/>
      <c r="F23" s="518"/>
      <c r="G23" s="518"/>
      <c r="H23" s="519"/>
    </row>
    <row r="24" spans="1:16384" ht="27" customHeight="1">
      <c r="A24" s="504"/>
      <c r="B24" s="505"/>
      <c r="C24" s="505"/>
      <c r="D24" s="505"/>
      <c r="E24" s="505"/>
      <c r="F24" s="505"/>
      <c r="G24" s="505"/>
      <c r="H24" s="506"/>
    </row>
    <row r="25" spans="1:16384" customFormat="1" ht="27" customHeight="1">
      <c r="A25" s="504"/>
      <c r="B25" s="505"/>
      <c r="C25" s="505"/>
      <c r="D25" s="505"/>
      <c r="E25" s="505"/>
      <c r="F25" s="505"/>
      <c r="G25" s="505"/>
      <c r="H25" s="506"/>
      <c r="K25" s="23"/>
    </row>
    <row r="26" spans="1:16384" ht="15.75">
      <c r="A26" s="490" t="s">
        <v>463</v>
      </c>
      <c r="B26" s="491"/>
      <c r="C26" s="492" t="s">
        <v>197</v>
      </c>
      <c r="D26" s="492"/>
      <c r="E26" s="492"/>
      <c r="F26" s="492"/>
      <c r="G26" s="492"/>
      <c r="H26" s="493"/>
    </row>
    <row r="27" spans="1:16384" ht="15.75">
      <c r="A27" s="491" t="s">
        <v>180</v>
      </c>
      <c r="B27" s="491"/>
      <c r="C27" s="492" t="s">
        <v>109</v>
      </c>
      <c r="D27" s="492"/>
      <c r="E27" s="492"/>
      <c r="F27" s="492"/>
      <c r="G27" s="492"/>
      <c r="H27" s="493"/>
    </row>
    <row r="28" spans="1:16384" customFormat="1" ht="27" customHeight="1">
      <c r="A28" s="504"/>
      <c r="B28" s="505"/>
      <c r="C28" s="505"/>
      <c r="D28" s="505"/>
      <c r="E28" s="505"/>
      <c r="F28" s="505"/>
      <c r="G28" s="505" t="s">
        <v>464</v>
      </c>
      <c r="H28" s="506"/>
      <c r="K28" s="23"/>
    </row>
    <row r="29" spans="1:16384" ht="15.75">
      <c r="A29" s="494" t="s">
        <v>465</v>
      </c>
      <c r="B29" s="495"/>
      <c r="C29" s="495"/>
      <c r="D29" s="494" t="s">
        <v>466</v>
      </c>
      <c r="E29" s="495"/>
      <c r="F29" s="496"/>
      <c r="G29" s="502" t="s">
        <v>467</v>
      </c>
      <c r="H29" s="503"/>
    </row>
    <row r="30" spans="1:16384" ht="15.75">
      <c r="A30" s="494" t="s">
        <v>468</v>
      </c>
      <c r="B30" s="495"/>
      <c r="C30" s="496"/>
      <c r="D30" s="494" t="s">
        <v>469</v>
      </c>
      <c r="E30" s="496"/>
      <c r="F30" s="497" t="s">
        <v>470</v>
      </c>
      <c r="G30" s="498" t="s">
        <v>471</v>
      </c>
      <c r="H30" s="498" t="s">
        <v>472</v>
      </c>
    </row>
    <row r="31" spans="1:16384" ht="47.25">
      <c r="A31" s="234" t="s">
        <v>473</v>
      </c>
      <c r="B31" s="234" t="s">
        <v>474</v>
      </c>
      <c r="C31" s="235" t="s">
        <v>475</v>
      </c>
      <c r="D31" s="234" t="s">
        <v>476</v>
      </c>
      <c r="E31" s="234" t="s">
        <v>477</v>
      </c>
      <c r="F31" s="497"/>
      <c r="G31" s="499"/>
      <c r="H31" s="499"/>
    </row>
    <row r="32" spans="1:16384" ht="78.75">
      <c r="A32" s="236">
        <v>12</v>
      </c>
      <c r="B32" s="242" t="s">
        <v>493</v>
      </c>
      <c r="C32" s="228" t="s">
        <v>494</v>
      </c>
      <c r="D32" s="229">
        <v>64000</v>
      </c>
      <c r="E32" s="229">
        <v>99401.279999999999</v>
      </c>
      <c r="F32" s="240">
        <f t="shared" ref="F32:F39" si="2">IFERROR(E32/D32*100-100,)</f>
        <v>55.31450000000001</v>
      </c>
      <c r="G32" s="238"/>
      <c r="H32" s="241"/>
    </row>
    <row r="33" spans="1:12" ht="47.25">
      <c r="A33" s="236">
        <v>6</v>
      </c>
      <c r="B33" s="242" t="s">
        <v>480</v>
      </c>
      <c r="C33" s="228" t="s">
        <v>494</v>
      </c>
      <c r="D33" s="229">
        <v>0</v>
      </c>
      <c r="E33" s="229">
        <v>0</v>
      </c>
      <c r="F33" s="240">
        <f t="shared" si="2"/>
        <v>0</v>
      </c>
      <c r="G33" s="238"/>
      <c r="H33" s="241"/>
    </row>
    <row r="34" spans="1:12" ht="31.5">
      <c r="A34" s="236">
        <v>15</v>
      </c>
      <c r="B34" s="242" t="s">
        <v>495</v>
      </c>
      <c r="C34" s="228" t="s">
        <v>496</v>
      </c>
      <c r="D34" s="229">
        <v>12000</v>
      </c>
      <c r="E34" s="229">
        <v>0</v>
      </c>
      <c r="F34" s="240">
        <f t="shared" si="2"/>
        <v>-100</v>
      </c>
      <c r="G34" s="238"/>
      <c r="H34" s="241"/>
    </row>
    <row r="35" spans="1:12" ht="47.25">
      <c r="A35" s="236">
        <v>1</v>
      </c>
      <c r="B35" s="243" t="s">
        <v>481</v>
      </c>
      <c r="C35" s="228" t="s">
        <v>482</v>
      </c>
      <c r="D35" s="229">
        <v>0</v>
      </c>
      <c r="E35" s="229"/>
      <c r="F35" s="240">
        <f t="shared" si="2"/>
        <v>0</v>
      </c>
      <c r="G35" s="238"/>
      <c r="H35" s="241"/>
    </row>
    <row r="36" spans="1:12" ht="126">
      <c r="A36" s="236">
        <v>1</v>
      </c>
      <c r="B36" s="242" t="s">
        <v>497</v>
      </c>
      <c r="C36" s="228" t="s">
        <v>498</v>
      </c>
      <c r="D36" s="229">
        <v>0</v>
      </c>
      <c r="E36" s="229">
        <v>0</v>
      </c>
      <c r="F36" s="240">
        <f t="shared" si="2"/>
        <v>0</v>
      </c>
      <c r="G36" s="238"/>
      <c r="H36" s="241"/>
    </row>
    <row r="37" spans="1:12" ht="31.5">
      <c r="A37" s="247">
        <v>1000</v>
      </c>
      <c r="B37" s="243" t="s">
        <v>499</v>
      </c>
      <c r="C37" s="242" t="s">
        <v>498</v>
      </c>
      <c r="D37" s="263">
        <v>0</v>
      </c>
      <c r="E37" s="263">
        <v>0</v>
      </c>
      <c r="F37" s="240">
        <f t="shared" si="2"/>
        <v>0</v>
      </c>
      <c r="G37" s="9"/>
      <c r="H37" s="241"/>
    </row>
    <row r="38" spans="1:12" ht="31.5">
      <c r="A38" s="247">
        <v>1000</v>
      </c>
      <c r="B38" s="243" t="s">
        <v>500</v>
      </c>
      <c r="C38" s="228" t="s">
        <v>498</v>
      </c>
      <c r="D38" s="229"/>
      <c r="E38" s="229">
        <v>10000</v>
      </c>
      <c r="F38" s="240">
        <f t="shared" si="2"/>
        <v>0</v>
      </c>
      <c r="G38" s="238"/>
      <c r="H38" s="241"/>
    </row>
    <row r="39" spans="1:12" ht="63">
      <c r="A39" s="248">
        <v>1</v>
      </c>
      <c r="B39" s="243" t="s">
        <v>501</v>
      </c>
      <c r="C39" s="228" t="s">
        <v>494</v>
      </c>
      <c r="D39" s="229"/>
      <c r="E39" s="229">
        <v>0</v>
      </c>
      <c r="F39" s="240">
        <f t="shared" si="2"/>
        <v>0</v>
      </c>
      <c r="G39" s="238"/>
      <c r="H39" s="241"/>
    </row>
    <row r="40" spans="1:12" ht="15.75">
      <c r="A40" s="500" t="s">
        <v>386</v>
      </c>
      <c r="B40" s="500"/>
      <c r="C40" s="500"/>
      <c r="D40" s="244">
        <f>SUM(D32:D39)</f>
        <v>76000</v>
      </c>
      <c r="E40" s="244">
        <f>SUM(E32:E39)</f>
        <v>109401.28</v>
      </c>
      <c r="F40" s="245">
        <f>SUM(F32:F39)</f>
        <v>-44.68549999999999</v>
      </c>
      <c r="G40" s="244">
        <f>SUM(G32:G39)</f>
        <v>0</v>
      </c>
      <c r="H40" s="246">
        <f t="shared" ref="H40" si="3">IFERROR(G40/E40*100,)</f>
        <v>0</v>
      </c>
      <c r="I40" s="260"/>
      <c r="J40" s="260"/>
      <c r="L40" s="28"/>
    </row>
    <row r="41" spans="1:12" ht="27" customHeight="1">
      <c r="A41" s="504"/>
      <c r="B41" s="505"/>
      <c r="C41" s="505"/>
      <c r="D41" s="505"/>
      <c r="E41" s="505"/>
      <c r="F41" s="505"/>
      <c r="G41" s="505"/>
      <c r="H41" s="506"/>
    </row>
    <row r="42" spans="1:12" ht="15.75">
      <c r="A42" s="507" t="s">
        <v>335</v>
      </c>
      <c r="B42" s="508"/>
      <c r="C42" s="508"/>
      <c r="D42" s="508"/>
      <c r="E42" s="508"/>
      <c r="F42" s="508"/>
      <c r="G42" s="508"/>
      <c r="H42" s="509"/>
    </row>
    <row r="43" spans="1:12" ht="27" customHeight="1">
      <c r="A43" s="504"/>
      <c r="B43" s="505"/>
      <c r="C43" s="505"/>
      <c r="D43" s="505"/>
      <c r="E43" s="505"/>
      <c r="F43" s="505"/>
      <c r="G43" s="505"/>
      <c r="H43" s="506"/>
    </row>
    <row r="44" spans="1:12" ht="27" customHeight="1">
      <c r="A44" s="249"/>
      <c r="B44" s="250"/>
      <c r="C44" s="250"/>
      <c r="D44" s="250"/>
      <c r="E44" s="250"/>
      <c r="F44" s="250"/>
      <c r="G44" s="250"/>
      <c r="H44" s="251"/>
    </row>
    <row r="45" spans="1:12" ht="15.75">
      <c r="A45" s="490" t="s">
        <v>463</v>
      </c>
      <c r="B45" s="491"/>
      <c r="C45" s="492" t="s">
        <v>202</v>
      </c>
      <c r="D45" s="492"/>
      <c r="E45" s="492"/>
      <c r="F45" s="492"/>
      <c r="G45" s="492"/>
      <c r="H45" s="493"/>
    </row>
    <row r="46" spans="1:12" ht="15.75">
      <c r="A46" s="491" t="s">
        <v>180</v>
      </c>
      <c r="B46" s="491"/>
      <c r="C46" s="492" t="s">
        <v>30</v>
      </c>
      <c r="D46" s="492"/>
      <c r="E46" s="492"/>
      <c r="F46" s="492"/>
      <c r="G46" s="492"/>
      <c r="H46" s="493"/>
    </row>
    <row r="47" spans="1:12" ht="27" customHeight="1">
      <c r="A47" s="504"/>
      <c r="B47" s="505"/>
      <c r="C47" s="505"/>
      <c r="D47" s="505"/>
      <c r="E47" s="505"/>
      <c r="F47" s="505"/>
      <c r="G47" s="505" t="s">
        <v>464</v>
      </c>
      <c r="H47" s="506"/>
    </row>
    <row r="48" spans="1:12" ht="15.75">
      <c r="A48" s="494" t="s">
        <v>465</v>
      </c>
      <c r="B48" s="495"/>
      <c r="C48" s="495"/>
      <c r="D48" s="494" t="s">
        <v>466</v>
      </c>
      <c r="E48" s="495"/>
      <c r="F48" s="496"/>
      <c r="G48" s="502" t="s">
        <v>467</v>
      </c>
      <c r="H48" s="503"/>
    </row>
    <row r="49" spans="1:8" ht="15.75">
      <c r="A49" s="494" t="s">
        <v>468</v>
      </c>
      <c r="B49" s="495"/>
      <c r="C49" s="496"/>
      <c r="D49" s="494" t="s">
        <v>469</v>
      </c>
      <c r="E49" s="496"/>
      <c r="F49" s="497" t="s">
        <v>470</v>
      </c>
      <c r="G49" s="498" t="s">
        <v>471</v>
      </c>
      <c r="H49" s="498" t="s">
        <v>472</v>
      </c>
    </row>
    <row r="50" spans="1:8" ht="47.25">
      <c r="A50" s="234" t="s">
        <v>473</v>
      </c>
      <c r="B50" s="234" t="s">
        <v>474</v>
      </c>
      <c r="C50" s="235" t="s">
        <v>475</v>
      </c>
      <c r="D50" s="234" t="s">
        <v>476</v>
      </c>
      <c r="E50" s="234" t="s">
        <v>477</v>
      </c>
      <c r="F50" s="497"/>
      <c r="G50" s="499"/>
      <c r="H50" s="499"/>
    </row>
    <row r="51" spans="1:8" ht="157.5">
      <c r="A51" s="236">
        <v>12</v>
      </c>
      <c r="B51" s="242" t="s">
        <v>502</v>
      </c>
      <c r="C51" s="228" t="s">
        <v>482</v>
      </c>
      <c r="D51" s="229">
        <v>96360</v>
      </c>
      <c r="E51" s="229">
        <v>115424.64000000001</v>
      </c>
      <c r="F51" s="240">
        <f t="shared" ref="F51:F79" si="4">IFERROR(E51/D51*100-100,)</f>
        <v>19.784806973848077</v>
      </c>
      <c r="G51" s="238"/>
      <c r="H51" s="241"/>
    </row>
    <row r="52" spans="1:8" ht="47.25">
      <c r="A52" s="236">
        <v>6</v>
      </c>
      <c r="B52" s="242" t="s">
        <v>480</v>
      </c>
      <c r="C52" s="228" t="s">
        <v>482</v>
      </c>
      <c r="D52" s="229">
        <v>0</v>
      </c>
      <c r="E52" s="229">
        <v>0</v>
      </c>
      <c r="F52" s="240">
        <f t="shared" si="4"/>
        <v>0</v>
      </c>
      <c r="G52" s="238"/>
      <c r="H52" s="241"/>
    </row>
    <row r="53" spans="1:8" ht="47.25">
      <c r="A53" s="236">
        <v>1</v>
      </c>
      <c r="B53" s="243" t="s">
        <v>481</v>
      </c>
      <c r="C53" s="228" t="s">
        <v>482</v>
      </c>
      <c r="D53" s="229">
        <v>0</v>
      </c>
      <c r="E53" s="229"/>
      <c r="F53" s="240">
        <f t="shared" si="4"/>
        <v>0</v>
      </c>
      <c r="G53" s="238"/>
      <c r="H53" s="241"/>
    </row>
    <row r="54" spans="1:8" ht="47.25">
      <c r="A54" s="236">
        <v>1</v>
      </c>
      <c r="B54" s="242" t="s">
        <v>503</v>
      </c>
      <c r="C54" s="228" t="s">
        <v>504</v>
      </c>
      <c r="D54" s="229">
        <v>5000</v>
      </c>
      <c r="E54" s="229">
        <v>5000</v>
      </c>
      <c r="F54" s="240">
        <f t="shared" si="4"/>
        <v>0</v>
      </c>
      <c r="G54" s="238"/>
      <c r="H54" s="241"/>
    </row>
    <row r="55" spans="1:8" ht="78.75">
      <c r="A55" s="252">
        <v>1</v>
      </c>
      <c r="B55" s="242" t="s">
        <v>505</v>
      </c>
      <c r="C55" s="228" t="s">
        <v>504</v>
      </c>
      <c r="D55" s="229">
        <v>0</v>
      </c>
      <c r="E55" s="229">
        <v>0</v>
      </c>
      <c r="F55" s="240">
        <f t="shared" si="4"/>
        <v>0</v>
      </c>
      <c r="G55" s="238"/>
      <c r="H55" s="241"/>
    </row>
    <row r="56" spans="1:8" ht="78.75">
      <c r="A56" s="252">
        <v>1</v>
      </c>
      <c r="B56" s="242" t="s">
        <v>506</v>
      </c>
      <c r="C56" s="228" t="s">
        <v>507</v>
      </c>
      <c r="D56" s="229">
        <v>0</v>
      </c>
      <c r="E56" s="229">
        <v>0</v>
      </c>
      <c r="F56" s="240">
        <f t="shared" si="4"/>
        <v>0</v>
      </c>
      <c r="G56" s="238"/>
      <c r="H56" s="241"/>
    </row>
    <row r="57" spans="1:8" ht="110.25">
      <c r="A57" s="252">
        <v>1</v>
      </c>
      <c r="B57" s="242" t="s">
        <v>508</v>
      </c>
      <c r="C57" s="228" t="s">
        <v>507</v>
      </c>
      <c r="D57" s="229">
        <v>0</v>
      </c>
      <c r="E57" s="229">
        <v>0</v>
      </c>
      <c r="F57" s="240">
        <f t="shared" si="4"/>
        <v>0</v>
      </c>
      <c r="G57" s="238"/>
      <c r="H57" s="241"/>
    </row>
    <row r="58" spans="1:8" ht="31.5">
      <c r="A58" s="252">
        <v>1</v>
      </c>
      <c r="B58" s="243" t="s">
        <v>509</v>
      </c>
      <c r="C58" s="228" t="s">
        <v>504</v>
      </c>
      <c r="D58" s="229">
        <v>0</v>
      </c>
      <c r="E58" s="229">
        <v>0</v>
      </c>
      <c r="F58" s="240">
        <f t="shared" si="4"/>
        <v>0</v>
      </c>
      <c r="G58" s="238"/>
      <c r="H58" s="241"/>
    </row>
    <row r="59" spans="1:8" ht="47.25">
      <c r="A59" s="252">
        <v>0.6</v>
      </c>
      <c r="B59" s="242" t="s">
        <v>510</v>
      </c>
      <c r="C59" s="228" t="s">
        <v>511</v>
      </c>
      <c r="D59" s="229">
        <v>0</v>
      </c>
      <c r="E59" s="229">
        <v>0</v>
      </c>
      <c r="F59" s="240">
        <f t="shared" si="4"/>
        <v>0</v>
      </c>
      <c r="G59" s="238"/>
      <c r="H59" s="241"/>
    </row>
    <row r="60" spans="1:8" ht="31.5">
      <c r="A60" s="252">
        <v>0.9</v>
      </c>
      <c r="B60" s="242" t="s">
        <v>512</v>
      </c>
      <c r="C60" s="228" t="s">
        <v>511</v>
      </c>
      <c r="D60" s="229">
        <v>0</v>
      </c>
      <c r="E60" s="229">
        <v>0</v>
      </c>
      <c r="F60" s="240">
        <f t="shared" si="4"/>
        <v>0</v>
      </c>
      <c r="G60" s="238"/>
      <c r="H60" s="241"/>
    </row>
    <row r="61" spans="1:8" ht="141.75">
      <c r="A61" s="252">
        <v>0.9</v>
      </c>
      <c r="B61" s="242" t="s">
        <v>513</v>
      </c>
      <c r="C61" s="228" t="s">
        <v>507</v>
      </c>
      <c r="D61" s="229">
        <v>0</v>
      </c>
      <c r="E61" s="229">
        <v>0</v>
      </c>
      <c r="F61" s="240">
        <f t="shared" si="4"/>
        <v>0</v>
      </c>
      <c r="G61" s="238"/>
      <c r="H61" s="241"/>
    </row>
    <row r="62" spans="1:8" ht="141.75">
      <c r="A62" s="252">
        <v>0.6</v>
      </c>
      <c r="B62" s="242" t="s">
        <v>514</v>
      </c>
      <c r="C62" s="228" t="s">
        <v>511</v>
      </c>
      <c r="D62" s="229">
        <v>0</v>
      </c>
      <c r="E62" s="229">
        <v>0</v>
      </c>
      <c r="F62" s="240">
        <f t="shared" si="4"/>
        <v>0</v>
      </c>
      <c r="G62" s="238"/>
      <c r="H62" s="241"/>
    </row>
    <row r="63" spans="1:8" ht="94.5">
      <c r="A63" s="236">
        <v>1</v>
      </c>
      <c r="B63" s="242" t="s">
        <v>515</v>
      </c>
      <c r="C63" s="228" t="s">
        <v>511</v>
      </c>
      <c r="D63" s="229">
        <v>0</v>
      </c>
      <c r="E63" s="229">
        <v>0</v>
      </c>
      <c r="F63" s="240">
        <f t="shared" si="4"/>
        <v>0</v>
      </c>
      <c r="G63" s="238"/>
      <c r="H63" s="241"/>
    </row>
    <row r="64" spans="1:8" ht="94.5">
      <c r="A64" s="252">
        <v>0.9</v>
      </c>
      <c r="B64" s="242" t="s">
        <v>516</v>
      </c>
      <c r="C64" s="228" t="s">
        <v>511</v>
      </c>
      <c r="D64" s="229">
        <v>0</v>
      </c>
      <c r="E64" s="229">
        <v>0</v>
      </c>
      <c r="F64" s="240">
        <f t="shared" si="4"/>
        <v>0</v>
      </c>
      <c r="G64" s="238"/>
      <c r="H64" s="241"/>
    </row>
    <row r="65" spans="1:12" ht="126">
      <c r="A65" s="252">
        <v>0.9</v>
      </c>
      <c r="B65" s="242" t="s">
        <v>517</v>
      </c>
      <c r="C65" s="228" t="s">
        <v>504</v>
      </c>
      <c r="D65" s="229">
        <v>0</v>
      </c>
      <c r="E65" s="229">
        <v>0</v>
      </c>
      <c r="F65" s="240">
        <f t="shared" si="4"/>
        <v>0</v>
      </c>
      <c r="G65" s="238"/>
      <c r="H65" s="241"/>
    </row>
    <row r="66" spans="1:12" ht="110.25">
      <c r="A66" s="252">
        <v>0.9</v>
      </c>
      <c r="B66" s="242" t="s">
        <v>518</v>
      </c>
      <c r="C66" s="228" t="s">
        <v>504</v>
      </c>
      <c r="D66" s="229">
        <v>0</v>
      </c>
      <c r="E66" s="229">
        <v>0</v>
      </c>
      <c r="F66" s="240">
        <f t="shared" si="4"/>
        <v>0</v>
      </c>
      <c r="G66" s="238"/>
      <c r="H66" s="241"/>
    </row>
    <row r="67" spans="1:12" ht="126">
      <c r="A67" s="252">
        <v>0.9</v>
      </c>
      <c r="B67" s="242" t="s">
        <v>519</v>
      </c>
      <c r="C67" s="228" t="s">
        <v>504</v>
      </c>
      <c r="D67" s="229">
        <v>0</v>
      </c>
      <c r="E67" s="229">
        <v>0</v>
      </c>
      <c r="F67" s="240">
        <f t="shared" si="4"/>
        <v>0</v>
      </c>
      <c r="G67" s="238"/>
      <c r="H67" s="241"/>
    </row>
    <row r="68" spans="1:12" ht="63">
      <c r="A68" s="252">
        <v>1</v>
      </c>
      <c r="B68" s="242" t="s">
        <v>520</v>
      </c>
      <c r="C68" s="228" t="s">
        <v>521</v>
      </c>
      <c r="D68" s="229">
        <v>26640</v>
      </c>
      <c r="E68" s="229">
        <v>10000</v>
      </c>
      <c r="F68" s="240">
        <f t="shared" si="4"/>
        <v>-62.462462462462462</v>
      </c>
      <c r="G68" s="238"/>
      <c r="H68" s="241"/>
    </row>
    <row r="69" spans="1:12" ht="94.5">
      <c r="A69" s="236" t="s">
        <v>522</v>
      </c>
      <c r="B69" s="242" t="s">
        <v>523</v>
      </c>
      <c r="C69" s="228" t="s">
        <v>482</v>
      </c>
      <c r="D69" s="229">
        <v>0</v>
      </c>
      <c r="E69" s="229">
        <v>0</v>
      </c>
      <c r="F69" s="240">
        <f t="shared" si="4"/>
        <v>0</v>
      </c>
      <c r="G69" s="238"/>
      <c r="H69" s="241"/>
    </row>
    <row r="70" spans="1:12" ht="63">
      <c r="A70" s="236" t="s">
        <v>524</v>
      </c>
      <c r="B70" s="242" t="s">
        <v>525</v>
      </c>
      <c r="C70" s="228" t="s">
        <v>482</v>
      </c>
      <c r="D70" s="229">
        <v>0</v>
      </c>
      <c r="E70" s="229">
        <v>0</v>
      </c>
      <c r="F70" s="240">
        <f t="shared" si="4"/>
        <v>0</v>
      </c>
      <c r="G70" s="238"/>
      <c r="H70" s="241"/>
    </row>
    <row r="71" spans="1:12" ht="47.25">
      <c r="A71" s="236" t="s">
        <v>524</v>
      </c>
      <c r="B71" s="242" t="s">
        <v>526</v>
      </c>
      <c r="C71" s="242" t="s">
        <v>482</v>
      </c>
      <c r="D71" s="263">
        <v>0</v>
      </c>
      <c r="E71" s="263">
        <v>0</v>
      </c>
      <c r="F71" s="240">
        <f t="shared" si="4"/>
        <v>0</v>
      </c>
      <c r="G71" s="9"/>
      <c r="H71" s="241"/>
    </row>
    <row r="72" spans="1:12" ht="63">
      <c r="A72" s="252">
        <v>1</v>
      </c>
      <c r="B72" s="243" t="s">
        <v>527</v>
      </c>
      <c r="C72" s="228" t="s">
        <v>504</v>
      </c>
      <c r="D72" s="229"/>
      <c r="E72" s="229">
        <v>3000</v>
      </c>
      <c r="F72" s="240">
        <f t="shared" si="4"/>
        <v>0</v>
      </c>
      <c r="G72" s="238"/>
      <c r="H72" s="241"/>
    </row>
    <row r="73" spans="1:12" ht="110.25">
      <c r="A73" s="252">
        <v>1</v>
      </c>
      <c r="B73" s="243" t="s">
        <v>528</v>
      </c>
      <c r="C73" s="228" t="s">
        <v>511</v>
      </c>
      <c r="D73" s="229"/>
      <c r="E73" s="229">
        <v>10000</v>
      </c>
      <c r="F73" s="240">
        <f t="shared" si="4"/>
        <v>0</v>
      </c>
      <c r="G73" s="238"/>
      <c r="H73" s="241"/>
    </row>
    <row r="74" spans="1:12" ht="126">
      <c r="A74" s="236" t="s">
        <v>529</v>
      </c>
      <c r="B74" s="243" t="s">
        <v>530</v>
      </c>
      <c r="C74" s="228" t="s">
        <v>504</v>
      </c>
      <c r="D74" s="229"/>
      <c r="E74" s="229">
        <v>0</v>
      </c>
      <c r="F74" s="240">
        <f t="shared" si="4"/>
        <v>0</v>
      </c>
      <c r="G74" s="238"/>
      <c r="H74" s="241"/>
    </row>
    <row r="75" spans="1:12" ht="31.5">
      <c r="A75" s="252">
        <v>1</v>
      </c>
      <c r="B75" s="243" t="s">
        <v>531</v>
      </c>
      <c r="C75" s="228" t="s">
        <v>504</v>
      </c>
      <c r="D75" s="229"/>
      <c r="E75" s="229">
        <v>0</v>
      </c>
      <c r="F75" s="240">
        <f t="shared" si="4"/>
        <v>0</v>
      </c>
      <c r="G75" s="238"/>
      <c r="H75" s="241"/>
    </row>
    <row r="76" spans="1:12" ht="78.75">
      <c r="A76" s="252">
        <v>0.9</v>
      </c>
      <c r="B76" s="243" t="s">
        <v>532</v>
      </c>
      <c r="C76" s="228" t="s">
        <v>504</v>
      </c>
      <c r="D76" s="229"/>
      <c r="E76" s="229">
        <v>0</v>
      </c>
      <c r="F76" s="240">
        <f t="shared" si="4"/>
        <v>0</v>
      </c>
      <c r="G76" s="238"/>
      <c r="H76" s="241"/>
    </row>
    <row r="77" spans="1:12" ht="47.25">
      <c r="A77" s="236">
        <v>2</v>
      </c>
      <c r="B77" s="243" t="s">
        <v>533</v>
      </c>
      <c r="C77" s="228" t="s">
        <v>507</v>
      </c>
      <c r="D77" s="229"/>
      <c r="E77" s="229">
        <v>0</v>
      </c>
      <c r="F77" s="240">
        <f t="shared" si="4"/>
        <v>0</v>
      </c>
      <c r="G77" s="238"/>
      <c r="H77" s="241"/>
    </row>
    <row r="78" spans="1:12" ht="31.5">
      <c r="A78" s="252">
        <v>1</v>
      </c>
      <c r="B78" s="242" t="s">
        <v>534</v>
      </c>
      <c r="C78" s="242" t="s">
        <v>482</v>
      </c>
      <c r="D78" s="229"/>
      <c r="E78" s="229">
        <v>0</v>
      </c>
      <c r="F78" s="240">
        <f t="shared" si="4"/>
        <v>0</v>
      </c>
      <c r="G78" s="238"/>
      <c r="H78" s="241"/>
    </row>
    <row r="79" spans="1:12" ht="31.5">
      <c r="A79" s="252">
        <v>1</v>
      </c>
      <c r="B79" s="242" t="s">
        <v>535</v>
      </c>
      <c r="C79" s="242" t="s">
        <v>482</v>
      </c>
      <c r="D79" s="229"/>
      <c r="E79" s="229">
        <v>0</v>
      </c>
      <c r="F79" s="240">
        <f t="shared" si="4"/>
        <v>0</v>
      </c>
      <c r="G79" s="238"/>
      <c r="H79" s="241"/>
    </row>
    <row r="80" spans="1:12" ht="15.75">
      <c r="A80" s="500" t="s">
        <v>386</v>
      </c>
      <c r="B80" s="500"/>
      <c r="C80" s="500"/>
      <c r="D80" s="244">
        <f>SUM(D51:D79)</f>
        <v>128000</v>
      </c>
      <c r="E80" s="244">
        <f>SUM(E51:E79)</f>
        <v>143424.64000000001</v>
      </c>
      <c r="F80" s="245">
        <f>SUM(F51:F79)</f>
        <v>-42.677655488614384</v>
      </c>
      <c r="G80" s="244">
        <f>SUM(G51:G79)</f>
        <v>0</v>
      </c>
      <c r="H80" s="246">
        <f t="shared" ref="H80" si="5">IFERROR(G80/E80*100,)</f>
        <v>0</v>
      </c>
      <c r="I80" s="260"/>
      <c r="J80" s="260"/>
      <c r="L80" s="28"/>
    </row>
    <row r="81" spans="1:8" ht="27" customHeight="1">
      <c r="A81" s="504"/>
      <c r="B81" s="505"/>
      <c r="C81" s="505"/>
      <c r="D81" s="505"/>
      <c r="E81" s="505"/>
      <c r="F81" s="505"/>
      <c r="G81" s="505"/>
      <c r="H81" s="506"/>
    </row>
    <row r="82" spans="1:8" ht="15.75">
      <c r="A82" s="507" t="s">
        <v>335</v>
      </c>
      <c r="B82" s="508"/>
      <c r="C82" s="508"/>
      <c r="D82" s="508"/>
      <c r="E82" s="508"/>
      <c r="F82" s="508"/>
      <c r="G82" s="508"/>
      <c r="H82" s="509"/>
    </row>
    <row r="83" spans="1:8" ht="27" customHeight="1">
      <c r="A83" s="504"/>
      <c r="B83" s="505"/>
      <c r="C83" s="505"/>
      <c r="D83" s="505"/>
      <c r="E83" s="505"/>
      <c r="F83" s="505"/>
      <c r="G83" s="505"/>
      <c r="H83" s="506"/>
    </row>
    <row r="84" spans="1:8" ht="27" customHeight="1">
      <c r="A84" s="504"/>
      <c r="B84" s="505"/>
      <c r="C84" s="505"/>
      <c r="D84" s="505"/>
      <c r="E84" s="505"/>
      <c r="F84" s="505"/>
      <c r="G84" s="505"/>
      <c r="H84" s="506"/>
    </row>
    <row r="85" spans="1:8" ht="15.75">
      <c r="A85" s="490" t="s">
        <v>463</v>
      </c>
      <c r="B85" s="491"/>
      <c r="C85" s="492" t="s">
        <v>206</v>
      </c>
      <c r="D85" s="492"/>
      <c r="E85" s="492"/>
      <c r="F85" s="492"/>
      <c r="G85" s="492"/>
      <c r="H85" s="493"/>
    </row>
    <row r="86" spans="1:8" ht="15.75">
      <c r="A86" s="491" t="s">
        <v>180</v>
      </c>
      <c r="B86" s="491"/>
      <c r="C86" s="492" t="s">
        <v>128</v>
      </c>
      <c r="D86" s="492"/>
      <c r="E86" s="492"/>
      <c r="F86" s="492"/>
      <c r="G86" s="492"/>
      <c r="H86" s="493"/>
    </row>
    <row r="87" spans="1:8" ht="27" customHeight="1">
      <c r="A87" s="504"/>
      <c r="B87" s="505"/>
      <c r="C87" s="505"/>
      <c r="D87" s="505"/>
      <c r="E87" s="505"/>
      <c r="F87" s="505"/>
      <c r="G87" s="505" t="s">
        <v>464</v>
      </c>
      <c r="H87" s="506"/>
    </row>
    <row r="88" spans="1:8" ht="15.75">
      <c r="A88" s="494" t="s">
        <v>465</v>
      </c>
      <c r="B88" s="495"/>
      <c r="C88" s="495"/>
      <c r="D88" s="494" t="s">
        <v>466</v>
      </c>
      <c r="E88" s="495"/>
      <c r="F88" s="496"/>
      <c r="G88" s="502" t="s">
        <v>467</v>
      </c>
      <c r="H88" s="503"/>
    </row>
    <row r="89" spans="1:8" ht="15.75">
      <c r="A89" s="494" t="s">
        <v>468</v>
      </c>
      <c r="B89" s="495"/>
      <c r="C89" s="496"/>
      <c r="D89" s="494" t="s">
        <v>469</v>
      </c>
      <c r="E89" s="496"/>
      <c r="F89" s="497" t="s">
        <v>470</v>
      </c>
      <c r="G89" s="498" t="s">
        <v>471</v>
      </c>
      <c r="H89" s="498" t="s">
        <v>472</v>
      </c>
    </row>
    <row r="90" spans="1:8" ht="47.25">
      <c r="A90" s="234" t="s">
        <v>473</v>
      </c>
      <c r="B90" s="234" t="s">
        <v>474</v>
      </c>
      <c r="C90" s="235" t="s">
        <v>475</v>
      </c>
      <c r="D90" s="234" t="s">
        <v>476</v>
      </c>
      <c r="E90" s="234" t="s">
        <v>477</v>
      </c>
      <c r="F90" s="497"/>
      <c r="G90" s="499"/>
      <c r="H90" s="499"/>
    </row>
    <row r="91" spans="1:8" ht="78.75">
      <c r="A91" s="227">
        <v>12</v>
      </c>
      <c r="B91" s="242" t="s">
        <v>536</v>
      </c>
      <c r="C91" s="228" t="s">
        <v>482</v>
      </c>
      <c r="D91" s="229">
        <v>38070</v>
      </c>
      <c r="E91" s="229">
        <v>67020</v>
      </c>
      <c r="F91" s="240">
        <f t="shared" ref="F91:F99" si="6">IFERROR(E91/D91*100-100,)</f>
        <v>76.044129235618612</v>
      </c>
      <c r="G91" s="238"/>
      <c r="H91" s="241"/>
    </row>
    <row r="92" spans="1:8" ht="47.25">
      <c r="A92" s="227">
        <v>6</v>
      </c>
      <c r="B92" s="242" t="s">
        <v>480</v>
      </c>
      <c r="C92" s="228" t="s">
        <v>482</v>
      </c>
      <c r="D92" s="229">
        <v>0</v>
      </c>
      <c r="E92" s="229">
        <v>0</v>
      </c>
      <c r="F92" s="240">
        <f t="shared" si="6"/>
        <v>0</v>
      </c>
      <c r="G92" s="238"/>
      <c r="H92" s="241"/>
    </row>
    <row r="93" spans="1:8" ht="47.25">
      <c r="A93" s="227">
        <v>1</v>
      </c>
      <c r="B93" s="242" t="s">
        <v>537</v>
      </c>
      <c r="C93" s="228" t="s">
        <v>482</v>
      </c>
      <c r="D93" s="229">
        <v>2680</v>
      </c>
      <c r="E93" s="229"/>
      <c r="F93" s="240">
        <f t="shared" si="6"/>
        <v>-100</v>
      </c>
      <c r="G93" s="238"/>
      <c r="H93" s="241"/>
    </row>
    <row r="94" spans="1:8" ht="110.25">
      <c r="A94" s="227">
        <v>1</v>
      </c>
      <c r="B94" s="242" t="s">
        <v>538</v>
      </c>
      <c r="C94" s="228" t="s">
        <v>482</v>
      </c>
      <c r="D94" s="229">
        <v>4050</v>
      </c>
      <c r="E94" s="229"/>
      <c r="F94" s="240">
        <f t="shared" si="6"/>
        <v>-100</v>
      </c>
      <c r="G94" s="238"/>
      <c r="H94" s="241"/>
    </row>
    <row r="95" spans="1:8" ht="47.25">
      <c r="A95" s="227">
        <v>1</v>
      </c>
      <c r="B95" s="242" t="s">
        <v>539</v>
      </c>
      <c r="C95" s="228" t="s">
        <v>482</v>
      </c>
      <c r="D95" s="229">
        <v>0</v>
      </c>
      <c r="E95" s="229">
        <v>0</v>
      </c>
      <c r="F95" s="240">
        <f t="shared" si="6"/>
        <v>0</v>
      </c>
      <c r="G95" s="238"/>
      <c r="H95" s="241"/>
    </row>
    <row r="96" spans="1:8" ht="110.25">
      <c r="A96" s="265">
        <v>1</v>
      </c>
      <c r="B96" s="242" t="s">
        <v>540</v>
      </c>
      <c r="C96" s="228" t="s">
        <v>507</v>
      </c>
      <c r="D96" s="229"/>
      <c r="E96" s="229">
        <v>0</v>
      </c>
      <c r="F96" s="240">
        <f t="shared" si="6"/>
        <v>0</v>
      </c>
      <c r="G96" s="238"/>
      <c r="H96" s="241"/>
    </row>
    <row r="97" spans="1:12" ht="110.25">
      <c r="A97" s="227">
        <v>1</v>
      </c>
      <c r="B97" s="242" t="s">
        <v>541</v>
      </c>
      <c r="C97" s="228" t="s">
        <v>482</v>
      </c>
      <c r="D97" s="229"/>
      <c r="E97" s="229">
        <v>0</v>
      </c>
      <c r="F97" s="240">
        <f t="shared" si="6"/>
        <v>0</v>
      </c>
      <c r="G97" s="238"/>
      <c r="H97" s="241"/>
    </row>
    <row r="98" spans="1:12" ht="31.5">
      <c r="A98" s="227">
        <v>1</v>
      </c>
      <c r="B98" s="243" t="s">
        <v>542</v>
      </c>
      <c r="C98" s="228" t="s">
        <v>482</v>
      </c>
      <c r="D98" s="229"/>
      <c r="E98" s="229">
        <v>0</v>
      </c>
      <c r="F98" s="240">
        <f t="shared" si="6"/>
        <v>0</v>
      </c>
      <c r="G98" s="238"/>
      <c r="H98" s="241"/>
    </row>
    <row r="99" spans="1:12" ht="31.5">
      <c r="A99" s="227">
        <v>1</v>
      </c>
      <c r="B99" s="242" t="s">
        <v>543</v>
      </c>
      <c r="C99" s="228" t="s">
        <v>482</v>
      </c>
      <c r="D99" s="229"/>
      <c r="E99" s="229">
        <v>0</v>
      </c>
      <c r="F99" s="240">
        <f t="shared" si="6"/>
        <v>0</v>
      </c>
      <c r="G99" s="238"/>
      <c r="H99" s="241"/>
    </row>
    <row r="100" spans="1:12" ht="15.75">
      <c r="A100" s="500" t="s">
        <v>386</v>
      </c>
      <c r="B100" s="500"/>
      <c r="C100" s="500"/>
      <c r="D100" s="244">
        <f>SUM(D91:D99)</f>
        <v>44800</v>
      </c>
      <c r="E100" s="244">
        <f>SUM(E91:E99)</f>
        <v>67020</v>
      </c>
      <c r="F100" s="245">
        <f>SUM(F91:F99)</f>
        <v>-123.95587076438139</v>
      </c>
      <c r="G100" s="244">
        <f>SUM(G91:G99)</f>
        <v>0</v>
      </c>
      <c r="H100" s="246">
        <f t="shared" ref="H100" si="7">IFERROR(G100/E100*100,)</f>
        <v>0</v>
      </c>
      <c r="I100" s="260"/>
      <c r="J100" s="260"/>
      <c r="L100" s="28"/>
    </row>
    <row r="101" spans="1:12" ht="27" customHeight="1">
      <c r="A101" s="504"/>
      <c r="B101" s="505"/>
      <c r="C101" s="505"/>
      <c r="D101" s="505"/>
      <c r="E101" s="505"/>
      <c r="F101" s="505"/>
      <c r="G101" s="505"/>
      <c r="H101" s="506"/>
    </row>
    <row r="102" spans="1:12" ht="15.75">
      <c r="A102" s="507" t="s">
        <v>335</v>
      </c>
      <c r="B102" s="508"/>
      <c r="C102" s="508"/>
      <c r="D102" s="508"/>
      <c r="E102" s="508"/>
      <c r="F102" s="508"/>
      <c r="G102" s="508"/>
      <c r="H102" s="509"/>
    </row>
    <row r="103" spans="1:12" ht="27" customHeight="1">
      <c r="A103" s="504"/>
      <c r="B103" s="505"/>
      <c r="C103" s="505"/>
      <c r="D103" s="505"/>
      <c r="E103" s="505"/>
      <c r="F103" s="505"/>
      <c r="G103" s="505"/>
      <c r="H103" s="506"/>
    </row>
    <row r="104" spans="1:12" ht="27" customHeight="1">
      <c r="A104" s="249"/>
      <c r="B104" s="250"/>
      <c r="C104" s="250"/>
      <c r="D104" s="250"/>
      <c r="E104" s="250"/>
      <c r="F104" s="250"/>
      <c r="G104" s="250"/>
      <c r="H104" s="251"/>
    </row>
    <row r="105" spans="1:12" ht="15.75">
      <c r="A105" s="490" t="s">
        <v>463</v>
      </c>
      <c r="B105" s="491"/>
      <c r="C105" s="492" t="s">
        <v>209</v>
      </c>
      <c r="D105" s="492"/>
      <c r="E105" s="492"/>
      <c r="F105" s="492"/>
      <c r="G105" s="492"/>
      <c r="H105" s="493"/>
    </row>
    <row r="106" spans="1:12" ht="15.75">
      <c r="A106" s="491" t="s">
        <v>180</v>
      </c>
      <c r="B106" s="491"/>
      <c r="C106" s="492" t="s">
        <v>145</v>
      </c>
      <c r="D106" s="492"/>
      <c r="E106" s="492"/>
      <c r="F106" s="492"/>
      <c r="G106" s="492"/>
      <c r="H106" s="493"/>
    </row>
    <row r="107" spans="1:12" ht="27" customHeight="1">
      <c r="A107" s="249"/>
      <c r="B107" s="250"/>
      <c r="C107" s="250"/>
      <c r="D107" s="250"/>
      <c r="E107" s="250"/>
      <c r="F107" s="250"/>
      <c r="G107" s="250" t="s">
        <v>464</v>
      </c>
      <c r="H107" s="251"/>
    </row>
    <row r="108" spans="1:12" ht="15.75">
      <c r="A108" s="494" t="s">
        <v>465</v>
      </c>
      <c r="B108" s="495"/>
      <c r="C108" s="495"/>
      <c r="D108" s="494" t="s">
        <v>466</v>
      </c>
      <c r="E108" s="495"/>
      <c r="F108" s="496"/>
      <c r="G108" s="502" t="s">
        <v>467</v>
      </c>
      <c r="H108" s="503"/>
    </row>
    <row r="109" spans="1:12" ht="15.75">
      <c r="A109" s="494" t="s">
        <v>468</v>
      </c>
      <c r="B109" s="495"/>
      <c r="C109" s="496"/>
      <c r="D109" s="494" t="s">
        <v>469</v>
      </c>
      <c r="E109" s="496"/>
      <c r="F109" s="497" t="s">
        <v>470</v>
      </c>
      <c r="G109" s="498" t="s">
        <v>471</v>
      </c>
      <c r="H109" s="498" t="s">
        <v>472</v>
      </c>
    </row>
    <row r="110" spans="1:12" ht="47.25">
      <c r="A110" s="234" t="s">
        <v>473</v>
      </c>
      <c r="B110" s="234" t="s">
        <v>474</v>
      </c>
      <c r="C110" s="235" t="s">
        <v>475</v>
      </c>
      <c r="D110" s="234" t="s">
        <v>476</v>
      </c>
      <c r="E110" s="234" t="s">
        <v>477</v>
      </c>
      <c r="F110" s="497"/>
      <c r="G110" s="499"/>
      <c r="H110" s="499"/>
    </row>
    <row r="111" spans="1:12" ht="78.75">
      <c r="A111" s="227">
        <v>12</v>
      </c>
      <c r="B111" s="228" t="s">
        <v>544</v>
      </c>
      <c r="C111" s="228" t="s">
        <v>482</v>
      </c>
      <c r="D111" s="229">
        <v>40935</v>
      </c>
      <c r="E111" s="229">
        <v>85860</v>
      </c>
      <c r="F111" s="240">
        <f t="shared" ref="F111:F127" si="8">IFERROR(E111/D111*100-100,)</f>
        <v>109.74716013191644</v>
      </c>
      <c r="G111" s="238"/>
      <c r="H111" s="241"/>
    </row>
    <row r="112" spans="1:12" ht="47.25">
      <c r="A112" s="227">
        <v>10</v>
      </c>
      <c r="B112" s="242" t="s">
        <v>545</v>
      </c>
      <c r="C112" s="228" t="s">
        <v>482</v>
      </c>
      <c r="D112" s="229">
        <v>0</v>
      </c>
      <c r="E112" s="229">
        <v>0</v>
      </c>
      <c r="F112" s="240">
        <f t="shared" si="8"/>
        <v>0</v>
      </c>
      <c r="G112" s="238"/>
      <c r="H112" s="241"/>
    </row>
    <row r="113" spans="1:12" ht="47.25">
      <c r="A113" s="227">
        <v>1</v>
      </c>
      <c r="B113" s="243" t="s">
        <v>481</v>
      </c>
      <c r="C113" s="228" t="s">
        <v>482</v>
      </c>
      <c r="D113" s="229">
        <v>0</v>
      </c>
      <c r="E113" s="229"/>
      <c r="F113" s="240">
        <f t="shared" si="8"/>
        <v>0</v>
      </c>
      <c r="G113" s="238"/>
      <c r="H113" s="241"/>
    </row>
    <row r="114" spans="1:12" ht="31.5">
      <c r="A114" s="227">
        <v>1</v>
      </c>
      <c r="B114" s="228" t="s">
        <v>546</v>
      </c>
      <c r="C114" s="228" t="s">
        <v>482</v>
      </c>
      <c r="D114" s="229">
        <v>0</v>
      </c>
      <c r="E114" s="229">
        <v>0</v>
      </c>
      <c r="F114" s="240">
        <f t="shared" si="8"/>
        <v>0</v>
      </c>
      <c r="G114" s="238"/>
      <c r="H114" s="241"/>
    </row>
    <row r="115" spans="1:12" ht="63">
      <c r="A115" s="227">
        <v>1</v>
      </c>
      <c r="B115" s="228" t="s">
        <v>547</v>
      </c>
      <c r="C115" s="228" t="s">
        <v>482</v>
      </c>
      <c r="D115" s="229">
        <v>0</v>
      </c>
      <c r="E115" s="229">
        <v>0</v>
      </c>
      <c r="F115" s="240">
        <f t="shared" si="8"/>
        <v>0</v>
      </c>
      <c r="G115" s="238"/>
      <c r="H115" s="241"/>
    </row>
    <row r="116" spans="1:12" ht="47.25">
      <c r="A116" s="227">
        <v>1</v>
      </c>
      <c r="B116" s="242" t="s">
        <v>548</v>
      </c>
      <c r="C116" s="228" t="s">
        <v>549</v>
      </c>
      <c r="D116" s="229">
        <v>0</v>
      </c>
      <c r="E116" s="229">
        <v>0</v>
      </c>
      <c r="F116" s="240">
        <f t="shared" si="8"/>
        <v>0</v>
      </c>
      <c r="G116" s="238"/>
      <c r="H116" s="241"/>
    </row>
    <row r="117" spans="1:12" ht="31.5">
      <c r="A117" s="227">
        <v>1</v>
      </c>
      <c r="B117" s="242" t="s">
        <v>550</v>
      </c>
      <c r="C117" s="228" t="s">
        <v>549</v>
      </c>
      <c r="D117" s="229">
        <v>0</v>
      </c>
      <c r="E117" s="229">
        <v>0</v>
      </c>
      <c r="F117" s="240">
        <f t="shared" si="8"/>
        <v>0</v>
      </c>
      <c r="G117" s="238"/>
      <c r="H117" s="241"/>
    </row>
    <row r="118" spans="1:12" ht="47.25">
      <c r="A118" s="227">
        <v>1</v>
      </c>
      <c r="B118" s="242" t="s">
        <v>551</v>
      </c>
      <c r="C118" s="228" t="s">
        <v>482</v>
      </c>
      <c r="D118" s="229">
        <v>0</v>
      </c>
      <c r="E118" s="229">
        <v>0</v>
      </c>
      <c r="F118" s="240">
        <f t="shared" si="8"/>
        <v>0</v>
      </c>
      <c r="G118" s="238"/>
      <c r="H118" s="241"/>
    </row>
    <row r="119" spans="1:12" ht="31.5">
      <c r="A119" s="265">
        <v>1</v>
      </c>
      <c r="B119" s="242" t="s">
        <v>552</v>
      </c>
      <c r="C119" s="228" t="s">
        <v>482</v>
      </c>
      <c r="D119" s="229">
        <v>0</v>
      </c>
      <c r="E119" s="229">
        <v>0</v>
      </c>
      <c r="F119" s="240">
        <f t="shared" si="8"/>
        <v>0</v>
      </c>
      <c r="G119" s="238"/>
      <c r="H119" s="241"/>
    </row>
    <row r="120" spans="1:12" ht="47.25">
      <c r="A120" s="227">
        <v>1</v>
      </c>
      <c r="B120" s="242" t="s">
        <v>553</v>
      </c>
      <c r="C120" s="242" t="s">
        <v>554</v>
      </c>
      <c r="D120" s="263">
        <v>0</v>
      </c>
      <c r="E120" s="263">
        <v>0</v>
      </c>
      <c r="F120" s="240">
        <f t="shared" si="8"/>
        <v>0</v>
      </c>
      <c r="G120" s="9"/>
      <c r="H120" s="241"/>
    </row>
    <row r="121" spans="1:12" ht="47.25">
      <c r="A121" s="227">
        <v>1</v>
      </c>
      <c r="B121" s="242" t="s">
        <v>555</v>
      </c>
      <c r="C121" s="242" t="s">
        <v>556</v>
      </c>
      <c r="D121" s="263">
        <v>0</v>
      </c>
      <c r="E121" s="263">
        <v>0</v>
      </c>
      <c r="F121" s="240">
        <f t="shared" si="8"/>
        <v>0</v>
      </c>
      <c r="G121" s="9"/>
      <c r="H121" s="133">
        <f>IFERROR(G121/E121*100,)</f>
        <v>0</v>
      </c>
    </row>
    <row r="122" spans="1:12" ht="31.5">
      <c r="A122" s="227">
        <v>1</v>
      </c>
      <c r="B122" s="242" t="s">
        <v>557</v>
      </c>
      <c r="C122" s="228" t="s">
        <v>482</v>
      </c>
      <c r="D122" s="263">
        <v>0</v>
      </c>
      <c r="E122" s="263">
        <v>0</v>
      </c>
      <c r="F122" s="240">
        <f t="shared" si="8"/>
        <v>0</v>
      </c>
      <c r="G122" s="9"/>
      <c r="H122" s="133">
        <f t="shared" ref="H122:H128" si="9">IFERROR(G122/E122*100,)</f>
        <v>0</v>
      </c>
    </row>
    <row r="123" spans="1:12" ht="126">
      <c r="A123" s="227">
        <v>1</v>
      </c>
      <c r="B123" s="242" t="s">
        <v>558</v>
      </c>
      <c r="C123" s="228" t="s">
        <v>482</v>
      </c>
      <c r="D123" s="263">
        <v>50000</v>
      </c>
      <c r="E123" s="263">
        <v>25000</v>
      </c>
      <c r="F123" s="240">
        <f t="shared" si="8"/>
        <v>-50</v>
      </c>
      <c r="G123" s="9"/>
      <c r="H123" s="133">
        <f t="shared" si="9"/>
        <v>0</v>
      </c>
    </row>
    <row r="124" spans="1:12" ht="31.5">
      <c r="A124" s="227">
        <v>1</v>
      </c>
      <c r="B124" s="242" t="s">
        <v>559</v>
      </c>
      <c r="C124" s="228" t="s">
        <v>482</v>
      </c>
      <c r="D124" s="229">
        <v>0</v>
      </c>
      <c r="E124" s="229">
        <v>0</v>
      </c>
      <c r="F124" s="240">
        <f t="shared" si="8"/>
        <v>0</v>
      </c>
      <c r="G124" s="238"/>
      <c r="H124" s="133">
        <f t="shared" si="9"/>
        <v>0</v>
      </c>
    </row>
    <row r="125" spans="1:12" ht="47.25">
      <c r="A125" s="227">
        <v>1</v>
      </c>
      <c r="B125" s="242" t="s">
        <v>560</v>
      </c>
      <c r="C125" s="228" t="s">
        <v>561</v>
      </c>
      <c r="D125" s="229">
        <v>0</v>
      </c>
      <c r="E125" s="229">
        <v>0</v>
      </c>
      <c r="F125" s="240">
        <f t="shared" si="8"/>
        <v>0</v>
      </c>
      <c r="G125" s="238"/>
      <c r="H125" s="133">
        <f t="shared" si="9"/>
        <v>0</v>
      </c>
    </row>
    <row r="126" spans="1:12" ht="31.5">
      <c r="A126" s="227">
        <v>1</v>
      </c>
      <c r="B126" s="242" t="s">
        <v>562</v>
      </c>
      <c r="C126" s="242" t="s">
        <v>549</v>
      </c>
      <c r="D126" s="263"/>
      <c r="E126" s="263">
        <v>0</v>
      </c>
      <c r="F126" s="240">
        <f t="shared" si="8"/>
        <v>0</v>
      </c>
      <c r="G126" s="9"/>
      <c r="H126" s="133">
        <f t="shared" si="9"/>
        <v>0</v>
      </c>
    </row>
    <row r="127" spans="1:12" ht="31.5">
      <c r="A127" s="227">
        <v>1</v>
      </c>
      <c r="B127" s="242" t="s">
        <v>563</v>
      </c>
      <c r="C127" s="228" t="s">
        <v>482</v>
      </c>
      <c r="D127" s="263"/>
      <c r="E127" s="263">
        <v>0</v>
      </c>
      <c r="F127" s="240">
        <f t="shared" si="8"/>
        <v>0</v>
      </c>
      <c r="G127" s="9"/>
      <c r="H127" s="133">
        <f t="shared" si="9"/>
        <v>0</v>
      </c>
    </row>
    <row r="128" spans="1:12" ht="15.75">
      <c r="A128" s="500" t="s">
        <v>386</v>
      </c>
      <c r="B128" s="500"/>
      <c r="C128" s="500"/>
      <c r="D128" s="244">
        <f>SUM(D111:D127)</f>
        <v>90935</v>
      </c>
      <c r="E128" s="244">
        <f>SUM(E111:E127)</f>
        <v>110860</v>
      </c>
      <c r="F128" s="245">
        <f>SUM(F111:F127)</f>
        <v>59.747160131916445</v>
      </c>
      <c r="G128" s="244">
        <f>SUM(G111:G127)</f>
        <v>0</v>
      </c>
      <c r="H128" s="246">
        <f t="shared" si="9"/>
        <v>0</v>
      </c>
      <c r="I128" s="260"/>
      <c r="J128" s="260"/>
      <c r="L128" s="28"/>
    </row>
    <row r="129" spans="1:8" ht="27" customHeight="1">
      <c r="A129" s="249"/>
      <c r="B129" s="250"/>
      <c r="C129" s="250"/>
      <c r="D129" s="250"/>
      <c r="E129" s="250"/>
      <c r="F129" s="250"/>
      <c r="G129" s="250"/>
      <c r="H129" s="251"/>
    </row>
    <row r="130" spans="1:8" ht="15.75">
      <c r="A130" s="507" t="s">
        <v>335</v>
      </c>
      <c r="B130" s="508"/>
      <c r="C130" s="508"/>
      <c r="D130" s="508"/>
      <c r="E130" s="508"/>
      <c r="F130" s="508"/>
      <c r="G130" s="508"/>
      <c r="H130" s="509"/>
    </row>
    <row r="131" spans="1:8" ht="27" customHeight="1">
      <c r="A131" s="249"/>
      <c r="B131" s="250"/>
      <c r="C131" s="250"/>
      <c r="D131" s="250"/>
      <c r="E131" s="250"/>
      <c r="F131" s="250"/>
      <c r="G131" s="250"/>
      <c r="H131" s="251"/>
    </row>
    <row r="132" spans="1:8" ht="27" customHeight="1">
      <c r="A132" s="249"/>
      <c r="B132" s="250"/>
      <c r="C132" s="250"/>
      <c r="D132" s="250"/>
      <c r="E132" s="250"/>
      <c r="F132" s="250"/>
      <c r="G132" s="250"/>
      <c r="H132" s="251"/>
    </row>
    <row r="133" spans="1:8" ht="15.75" customHeight="1">
      <c r="A133" s="490" t="s">
        <v>463</v>
      </c>
      <c r="B133" s="491"/>
      <c r="C133" s="492" t="s">
        <v>212</v>
      </c>
      <c r="D133" s="492"/>
      <c r="E133" s="492"/>
      <c r="F133" s="492"/>
      <c r="G133" s="492"/>
      <c r="H133" s="493"/>
    </row>
    <row r="134" spans="1:8" ht="15.75">
      <c r="A134" s="491" t="s">
        <v>180</v>
      </c>
      <c r="B134" s="491"/>
      <c r="C134" s="492" t="s">
        <v>213</v>
      </c>
      <c r="D134" s="492"/>
      <c r="E134" s="492"/>
      <c r="F134" s="492"/>
      <c r="G134" s="492"/>
      <c r="H134" s="493"/>
    </row>
    <row r="135" spans="1:8" ht="27" customHeight="1">
      <c r="A135" s="249"/>
      <c r="B135" s="250"/>
      <c r="C135" s="250"/>
      <c r="D135" s="250"/>
      <c r="E135" s="250"/>
      <c r="F135" s="250"/>
      <c r="G135" s="250" t="s">
        <v>464</v>
      </c>
      <c r="H135" s="251"/>
    </row>
    <row r="136" spans="1:8" ht="15.75">
      <c r="A136" s="494" t="s">
        <v>465</v>
      </c>
      <c r="B136" s="495"/>
      <c r="C136" s="495"/>
      <c r="D136" s="494" t="s">
        <v>466</v>
      </c>
      <c r="E136" s="495"/>
      <c r="F136" s="496"/>
      <c r="G136" s="502" t="s">
        <v>467</v>
      </c>
      <c r="H136" s="503"/>
    </row>
    <row r="137" spans="1:8" ht="15.75">
      <c r="A137" s="494" t="s">
        <v>468</v>
      </c>
      <c r="B137" s="495"/>
      <c r="C137" s="496"/>
      <c r="D137" s="494" t="s">
        <v>469</v>
      </c>
      <c r="E137" s="496"/>
      <c r="F137" s="497" t="s">
        <v>470</v>
      </c>
      <c r="G137" s="498" t="s">
        <v>471</v>
      </c>
      <c r="H137" s="498" t="s">
        <v>472</v>
      </c>
    </row>
    <row r="138" spans="1:8" ht="47.25">
      <c r="A138" s="234" t="s">
        <v>473</v>
      </c>
      <c r="B138" s="234" t="s">
        <v>474</v>
      </c>
      <c r="C138" s="235" t="s">
        <v>475</v>
      </c>
      <c r="D138" s="234" t="s">
        <v>476</v>
      </c>
      <c r="E138" s="234" t="s">
        <v>477</v>
      </c>
      <c r="F138" s="497"/>
      <c r="G138" s="499"/>
      <c r="H138" s="499"/>
    </row>
    <row r="139" spans="1:8" ht="94.5">
      <c r="A139" s="227">
        <v>9</v>
      </c>
      <c r="B139" s="242" t="s">
        <v>564</v>
      </c>
      <c r="C139" s="228" t="s">
        <v>482</v>
      </c>
      <c r="D139" s="229">
        <v>59582.68</v>
      </c>
      <c r="E139" s="229">
        <v>63900</v>
      </c>
      <c r="F139" s="240">
        <f t="shared" ref="F139:F158" si="10">IFERROR(E139/D139*100-100,)</f>
        <v>7.245931200140717</v>
      </c>
      <c r="G139" s="238"/>
      <c r="H139" s="241"/>
    </row>
    <row r="140" spans="1:8" ht="47.25">
      <c r="A140" s="227">
        <v>4</v>
      </c>
      <c r="B140" s="242" t="s">
        <v>565</v>
      </c>
      <c r="C140" s="228" t="s">
        <v>482</v>
      </c>
      <c r="D140" s="229">
        <v>0</v>
      </c>
      <c r="E140" s="229">
        <v>0</v>
      </c>
      <c r="F140" s="240">
        <f t="shared" si="10"/>
        <v>0</v>
      </c>
      <c r="G140" s="238"/>
      <c r="H140" s="241"/>
    </row>
    <row r="141" spans="1:8" ht="47.25">
      <c r="A141" s="227">
        <v>1</v>
      </c>
      <c r="B141" s="243" t="s">
        <v>566</v>
      </c>
      <c r="C141" s="228" t="s">
        <v>482</v>
      </c>
      <c r="D141" s="229"/>
      <c r="E141" s="229"/>
      <c r="F141" s="240">
        <f t="shared" si="10"/>
        <v>0</v>
      </c>
      <c r="G141" s="238"/>
      <c r="H141" s="241"/>
    </row>
    <row r="142" spans="1:8" ht="63">
      <c r="A142" s="227">
        <v>1</v>
      </c>
      <c r="B142" s="242" t="s">
        <v>567</v>
      </c>
      <c r="C142" s="228" t="s">
        <v>549</v>
      </c>
      <c r="D142" s="229"/>
      <c r="E142" s="229">
        <v>0</v>
      </c>
      <c r="F142" s="240">
        <f t="shared" si="10"/>
        <v>0</v>
      </c>
      <c r="G142" s="238"/>
      <c r="H142" s="241"/>
    </row>
    <row r="143" spans="1:8" ht="47.25">
      <c r="A143" s="227">
        <v>1</v>
      </c>
      <c r="B143" s="242" t="s">
        <v>568</v>
      </c>
      <c r="C143" s="228" t="s">
        <v>569</v>
      </c>
      <c r="D143" s="229">
        <v>0</v>
      </c>
      <c r="E143" s="229">
        <v>0</v>
      </c>
      <c r="F143" s="240">
        <f t="shared" si="10"/>
        <v>0</v>
      </c>
      <c r="G143" s="238"/>
      <c r="H143" s="241"/>
    </row>
    <row r="144" spans="1:8" ht="63">
      <c r="A144" s="227">
        <v>1</v>
      </c>
      <c r="B144" s="242" t="s">
        <v>570</v>
      </c>
      <c r="C144" s="228" t="s">
        <v>482</v>
      </c>
      <c r="D144" s="229">
        <v>0</v>
      </c>
      <c r="E144" s="229">
        <v>0</v>
      </c>
      <c r="F144" s="240">
        <f t="shared" si="10"/>
        <v>0</v>
      </c>
      <c r="G144" s="238"/>
      <c r="H144" s="241"/>
    </row>
    <row r="145" spans="1:12" ht="47.25">
      <c r="A145" s="227">
        <v>1</v>
      </c>
      <c r="B145" s="242" t="s">
        <v>571</v>
      </c>
      <c r="C145" s="228" t="s">
        <v>556</v>
      </c>
      <c r="D145" s="229">
        <v>0</v>
      </c>
      <c r="E145" s="229">
        <v>0</v>
      </c>
      <c r="F145" s="240">
        <f t="shared" si="10"/>
        <v>0</v>
      </c>
      <c r="G145" s="238"/>
      <c r="H145" s="241"/>
    </row>
    <row r="146" spans="1:12" ht="47.25">
      <c r="A146" s="227">
        <v>1</v>
      </c>
      <c r="B146" s="242" t="s">
        <v>572</v>
      </c>
      <c r="C146" s="228" t="s">
        <v>482</v>
      </c>
      <c r="D146" s="229">
        <v>0</v>
      </c>
      <c r="E146" s="229">
        <v>0</v>
      </c>
      <c r="F146" s="240">
        <f t="shared" si="10"/>
        <v>0</v>
      </c>
      <c r="G146" s="238"/>
      <c r="H146" s="241"/>
    </row>
    <row r="147" spans="1:12" ht="31.5">
      <c r="A147" s="227">
        <v>1</v>
      </c>
      <c r="B147" s="242" t="s">
        <v>573</v>
      </c>
      <c r="C147" s="228" t="s">
        <v>561</v>
      </c>
      <c r="D147" s="229">
        <v>0</v>
      </c>
      <c r="E147" s="229">
        <v>0</v>
      </c>
      <c r="F147" s="240">
        <f t="shared" si="10"/>
        <v>0</v>
      </c>
      <c r="G147" s="238"/>
      <c r="H147" s="241"/>
    </row>
    <row r="148" spans="1:12" ht="31.5">
      <c r="A148" s="227">
        <v>1</v>
      </c>
      <c r="B148" s="243" t="s">
        <v>574</v>
      </c>
      <c r="C148" s="228" t="s">
        <v>561</v>
      </c>
      <c r="D148" s="229"/>
      <c r="E148" s="229">
        <v>0</v>
      </c>
      <c r="F148" s="240">
        <f t="shared" si="10"/>
        <v>0</v>
      </c>
      <c r="G148" s="238"/>
      <c r="H148" s="241"/>
    </row>
    <row r="149" spans="1:12" ht="15.75">
      <c r="A149" s="227">
        <v>1</v>
      </c>
      <c r="B149" s="242" t="s">
        <v>575</v>
      </c>
      <c r="C149" s="228" t="s">
        <v>561</v>
      </c>
      <c r="D149" s="229">
        <v>0</v>
      </c>
      <c r="E149" s="229">
        <v>0</v>
      </c>
      <c r="F149" s="240">
        <f t="shared" si="10"/>
        <v>0</v>
      </c>
      <c r="G149" s="238"/>
      <c r="H149" s="241"/>
    </row>
    <row r="150" spans="1:12" ht="15.75">
      <c r="A150" s="227">
        <v>1</v>
      </c>
      <c r="B150" s="242" t="s">
        <v>576</v>
      </c>
      <c r="C150" s="228" t="s">
        <v>561</v>
      </c>
      <c r="D150" s="229">
        <v>0</v>
      </c>
      <c r="E150" s="229">
        <v>0</v>
      </c>
      <c r="F150" s="240">
        <f t="shared" si="10"/>
        <v>0</v>
      </c>
      <c r="G150" s="238"/>
      <c r="H150" s="241"/>
    </row>
    <row r="151" spans="1:12" ht="78.75">
      <c r="A151" s="227">
        <v>1</v>
      </c>
      <c r="B151" s="243" t="s">
        <v>577</v>
      </c>
      <c r="C151" s="228" t="s">
        <v>482</v>
      </c>
      <c r="D151" s="229">
        <v>0</v>
      </c>
      <c r="E151" s="229">
        <v>1500</v>
      </c>
      <c r="F151" s="240">
        <f t="shared" si="10"/>
        <v>0</v>
      </c>
      <c r="G151" s="238"/>
      <c r="H151" s="241"/>
    </row>
    <row r="152" spans="1:12" ht="31.5">
      <c r="A152" s="227">
        <v>10</v>
      </c>
      <c r="B152" s="243" t="s">
        <v>578</v>
      </c>
      <c r="C152" s="228" t="s">
        <v>561</v>
      </c>
      <c r="D152" s="229"/>
      <c r="E152" s="229">
        <v>0</v>
      </c>
      <c r="F152" s="240">
        <f t="shared" si="10"/>
        <v>0</v>
      </c>
      <c r="G152" s="238"/>
      <c r="H152" s="241"/>
    </row>
    <row r="153" spans="1:12" ht="47.25">
      <c r="A153" s="227">
        <v>10</v>
      </c>
      <c r="B153" s="242" t="s">
        <v>579</v>
      </c>
      <c r="C153" s="228" t="s">
        <v>556</v>
      </c>
      <c r="D153" s="229">
        <v>0</v>
      </c>
      <c r="E153" s="229">
        <v>0</v>
      </c>
      <c r="F153" s="240">
        <f t="shared" si="10"/>
        <v>0</v>
      </c>
      <c r="G153" s="238"/>
      <c r="H153" s="241"/>
    </row>
    <row r="154" spans="1:12" ht="110.25">
      <c r="A154" s="227">
        <v>12</v>
      </c>
      <c r="B154" s="243" t="s">
        <v>580</v>
      </c>
      <c r="C154" s="228" t="s">
        <v>482</v>
      </c>
      <c r="D154" s="229"/>
      <c r="E154" s="229">
        <v>0</v>
      </c>
      <c r="F154" s="240">
        <f t="shared" si="10"/>
        <v>0</v>
      </c>
      <c r="G154" s="238"/>
      <c r="H154" s="241"/>
    </row>
    <row r="155" spans="1:12" ht="47.25">
      <c r="A155" s="227">
        <v>1</v>
      </c>
      <c r="B155" s="242" t="s">
        <v>581</v>
      </c>
      <c r="C155" s="228" t="s">
        <v>482</v>
      </c>
      <c r="D155" s="229">
        <v>1500</v>
      </c>
      <c r="E155" s="229">
        <v>1500</v>
      </c>
      <c r="F155" s="240">
        <f t="shared" si="10"/>
        <v>0</v>
      </c>
      <c r="G155" s="238"/>
      <c r="H155" s="241"/>
    </row>
    <row r="156" spans="1:12" ht="15.75">
      <c r="A156" s="227">
        <v>1</v>
      </c>
      <c r="B156" s="243" t="s">
        <v>582</v>
      </c>
      <c r="C156" s="228" t="s">
        <v>482</v>
      </c>
      <c r="D156" s="229"/>
      <c r="E156" s="229">
        <v>0</v>
      </c>
      <c r="F156" s="240">
        <f t="shared" si="10"/>
        <v>0</v>
      </c>
      <c r="G156" s="238"/>
      <c r="H156" s="241"/>
    </row>
    <row r="157" spans="1:12" ht="31.5">
      <c r="A157" s="227">
        <v>1</v>
      </c>
      <c r="B157" s="242" t="s">
        <v>583</v>
      </c>
      <c r="C157" s="228" t="s">
        <v>482</v>
      </c>
      <c r="D157" s="229">
        <v>1500</v>
      </c>
      <c r="E157" s="229">
        <v>1500</v>
      </c>
      <c r="F157" s="240">
        <f t="shared" si="10"/>
        <v>0</v>
      </c>
      <c r="G157" s="238"/>
      <c r="H157" s="241"/>
    </row>
    <row r="158" spans="1:12" ht="15.75">
      <c r="A158" s="227">
        <v>1</v>
      </c>
      <c r="B158" s="243" t="s">
        <v>584</v>
      </c>
      <c r="C158" s="228" t="s">
        <v>585</v>
      </c>
      <c r="D158" s="229"/>
      <c r="E158" s="229">
        <v>0</v>
      </c>
      <c r="F158" s="240">
        <f t="shared" si="10"/>
        <v>0</v>
      </c>
      <c r="G158" s="238"/>
      <c r="H158" s="241"/>
    </row>
    <row r="159" spans="1:12" ht="15.75">
      <c r="A159" s="500" t="s">
        <v>386</v>
      </c>
      <c r="B159" s="500"/>
      <c r="C159" s="500"/>
      <c r="D159" s="244">
        <f>SUM(D139:D158)</f>
        <v>62582.68</v>
      </c>
      <c r="E159" s="244">
        <f>SUM(E139:E158)</f>
        <v>68400</v>
      </c>
      <c r="F159" s="245">
        <f>SUM(F139:F158)</f>
        <v>7.245931200140717</v>
      </c>
      <c r="G159" s="244">
        <f>SUM(G139:G158)</f>
        <v>0</v>
      </c>
      <c r="H159" s="246">
        <f t="shared" ref="H159" si="11">IFERROR(G159/E159*100,)</f>
        <v>0</v>
      </c>
      <c r="I159" s="260"/>
      <c r="J159" s="260"/>
      <c r="L159" s="28"/>
    </row>
    <row r="160" spans="1:12" ht="27" customHeight="1">
      <c r="A160" s="249"/>
      <c r="B160" s="250"/>
      <c r="C160" s="250"/>
      <c r="D160" s="250"/>
      <c r="E160" s="250"/>
      <c r="F160" s="250"/>
      <c r="G160" s="250"/>
      <c r="H160" s="251"/>
    </row>
    <row r="161" spans="1:8" ht="15.75">
      <c r="A161" s="507" t="s">
        <v>335</v>
      </c>
      <c r="B161" s="508"/>
      <c r="C161" s="508"/>
      <c r="D161" s="508"/>
      <c r="E161" s="508"/>
      <c r="F161" s="508"/>
      <c r="G161" s="508"/>
      <c r="H161" s="509"/>
    </row>
    <row r="162" spans="1:8" ht="27" customHeight="1">
      <c r="A162" s="249"/>
      <c r="B162" s="250"/>
      <c r="C162" s="250"/>
      <c r="D162" s="250"/>
      <c r="E162" s="250"/>
      <c r="F162" s="250"/>
      <c r="G162" s="250"/>
      <c r="H162" s="251"/>
    </row>
    <row r="163" spans="1:8" ht="27" customHeight="1">
      <c r="A163" s="249"/>
      <c r="B163" s="250"/>
      <c r="C163" s="250"/>
      <c r="D163" s="250"/>
      <c r="E163" s="250"/>
      <c r="F163" s="250"/>
      <c r="G163" s="250"/>
      <c r="H163" s="251"/>
    </row>
    <row r="164" spans="1:8" ht="15.75">
      <c r="A164" s="490" t="s">
        <v>463</v>
      </c>
      <c r="B164" s="491"/>
      <c r="C164" s="492" t="s">
        <v>216</v>
      </c>
      <c r="D164" s="492"/>
      <c r="E164" s="492"/>
      <c r="F164" s="492"/>
      <c r="G164" s="492"/>
      <c r="H164" s="493"/>
    </row>
    <row r="165" spans="1:8" ht="15.75">
      <c r="A165" s="491" t="s">
        <v>180</v>
      </c>
      <c r="B165" s="491"/>
      <c r="C165" s="492" t="s">
        <v>119</v>
      </c>
      <c r="D165" s="492"/>
      <c r="E165" s="492"/>
      <c r="F165" s="492"/>
      <c r="G165" s="492"/>
      <c r="H165" s="493"/>
    </row>
    <row r="166" spans="1:8" ht="27" customHeight="1">
      <c r="A166" s="249"/>
      <c r="B166" s="250"/>
      <c r="C166" s="250"/>
      <c r="D166" s="250"/>
      <c r="E166" s="250"/>
      <c r="F166" s="250"/>
      <c r="G166" s="250" t="s">
        <v>464</v>
      </c>
      <c r="H166" s="251"/>
    </row>
    <row r="167" spans="1:8" ht="15.75">
      <c r="A167" s="494" t="s">
        <v>465</v>
      </c>
      <c r="B167" s="495"/>
      <c r="C167" s="495"/>
      <c r="D167" s="494" t="s">
        <v>466</v>
      </c>
      <c r="E167" s="495"/>
      <c r="F167" s="496"/>
      <c r="G167" s="502" t="s">
        <v>467</v>
      </c>
      <c r="H167" s="503"/>
    </row>
    <row r="168" spans="1:8" ht="15.75">
      <c r="A168" s="494" t="s">
        <v>468</v>
      </c>
      <c r="B168" s="495"/>
      <c r="C168" s="496"/>
      <c r="D168" s="494" t="s">
        <v>469</v>
      </c>
      <c r="E168" s="496"/>
      <c r="F168" s="497" t="s">
        <v>470</v>
      </c>
      <c r="G168" s="498" t="s">
        <v>471</v>
      </c>
      <c r="H168" s="498" t="s">
        <v>472</v>
      </c>
    </row>
    <row r="169" spans="1:8" ht="47.25">
      <c r="A169" s="234" t="s">
        <v>473</v>
      </c>
      <c r="B169" s="234" t="s">
        <v>474</v>
      </c>
      <c r="C169" s="235" t="s">
        <v>475</v>
      </c>
      <c r="D169" s="234" t="s">
        <v>476</v>
      </c>
      <c r="E169" s="234" t="s">
        <v>477</v>
      </c>
      <c r="F169" s="497"/>
      <c r="G169" s="499"/>
      <c r="H169" s="499"/>
    </row>
    <row r="170" spans="1:8" ht="94.5">
      <c r="A170" s="227">
        <v>9</v>
      </c>
      <c r="B170" s="242" t="s">
        <v>586</v>
      </c>
      <c r="C170" s="228" t="s">
        <v>482</v>
      </c>
      <c r="D170" s="229">
        <v>26500</v>
      </c>
      <c r="E170" s="229">
        <v>34830</v>
      </c>
      <c r="F170" s="240">
        <f t="shared" ref="F170:F198" si="12">IFERROR(E170/D170*100-100,)</f>
        <v>31.433962264150949</v>
      </c>
      <c r="G170" s="238"/>
      <c r="H170" s="133"/>
    </row>
    <row r="171" spans="1:8" ht="47.25">
      <c r="A171" s="227">
        <v>4</v>
      </c>
      <c r="B171" s="242" t="s">
        <v>565</v>
      </c>
      <c r="C171" s="228" t="s">
        <v>482</v>
      </c>
      <c r="D171" s="229">
        <v>0</v>
      </c>
      <c r="E171" s="229">
        <v>0</v>
      </c>
      <c r="F171" s="240">
        <f t="shared" si="12"/>
        <v>0</v>
      </c>
      <c r="G171" s="238"/>
      <c r="H171" s="241"/>
    </row>
    <row r="172" spans="1:8" ht="94.5">
      <c r="A172" s="227">
        <v>1</v>
      </c>
      <c r="B172" s="242" t="s">
        <v>587</v>
      </c>
      <c r="C172" s="228" t="s">
        <v>569</v>
      </c>
      <c r="D172" s="229">
        <v>0</v>
      </c>
      <c r="E172" s="229">
        <v>0</v>
      </c>
      <c r="F172" s="240">
        <f t="shared" si="12"/>
        <v>0</v>
      </c>
      <c r="G172" s="238"/>
      <c r="H172" s="241"/>
    </row>
    <row r="173" spans="1:8" ht="47.25">
      <c r="A173" s="227">
        <v>1</v>
      </c>
      <c r="B173" s="242" t="s">
        <v>588</v>
      </c>
      <c r="C173" s="242" t="s">
        <v>589</v>
      </c>
      <c r="D173" s="263">
        <v>0</v>
      </c>
      <c r="E173" s="263">
        <v>0</v>
      </c>
      <c r="F173" s="240">
        <f t="shared" si="12"/>
        <v>0</v>
      </c>
      <c r="G173" s="9"/>
      <c r="H173" s="241"/>
    </row>
    <row r="174" spans="1:8" ht="63">
      <c r="A174" s="227">
        <v>1</v>
      </c>
      <c r="B174" s="242" t="s">
        <v>590</v>
      </c>
      <c r="C174" s="228" t="s">
        <v>482</v>
      </c>
      <c r="D174" s="229">
        <v>0</v>
      </c>
      <c r="E174" s="229">
        <v>0</v>
      </c>
      <c r="F174" s="240">
        <f t="shared" si="12"/>
        <v>0</v>
      </c>
      <c r="G174" s="238"/>
      <c r="H174" s="254"/>
    </row>
    <row r="175" spans="1:8" ht="47.25">
      <c r="A175" s="227">
        <v>1</v>
      </c>
      <c r="B175" s="242" t="s">
        <v>591</v>
      </c>
      <c r="C175" s="228" t="s">
        <v>482</v>
      </c>
      <c r="D175" s="229">
        <v>0</v>
      </c>
      <c r="E175" s="229">
        <v>0</v>
      </c>
      <c r="F175" s="240">
        <f t="shared" si="12"/>
        <v>0</v>
      </c>
      <c r="G175" s="238"/>
      <c r="H175" s="241"/>
    </row>
    <row r="176" spans="1:8" ht="31.5">
      <c r="A176" s="227">
        <v>1</v>
      </c>
      <c r="B176" s="242" t="s">
        <v>592</v>
      </c>
      <c r="C176" s="228" t="s">
        <v>482</v>
      </c>
      <c r="D176" s="229">
        <v>0</v>
      </c>
      <c r="E176" s="229">
        <v>0</v>
      </c>
      <c r="F176" s="240">
        <f t="shared" si="12"/>
        <v>0</v>
      </c>
      <c r="G176" s="238"/>
      <c r="H176" s="241"/>
    </row>
    <row r="177" spans="1:8" ht="15.75">
      <c r="A177" s="227">
        <v>1</v>
      </c>
      <c r="B177" s="243" t="s">
        <v>593</v>
      </c>
      <c r="C177" s="242" t="s">
        <v>561</v>
      </c>
      <c r="D177" s="263">
        <v>0</v>
      </c>
      <c r="E177" s="263">
        <v>0</v>
      </c>
      <c r="F177" s="240">
        <f t="shared" si="12"/>
        <v>0</v>
      </c>
      <c r="G177" s="9"/>
      <c r="H177" s="241"/>
    </row>
    <row r="178" spans="1:8" ht="47.25">
      <c r="A178" s="227">
        <v>1</v>
      </c>
      <c r="B178" s="242" t="s">
        <v>594</v>
      </c>
      <c r="C178" s="242" t="s">
        <v>482</v>
      </c>
      <c r="D178" s="263">
        <v>0</v>
      </c>
      <c r="E178" s="263">
        <v>0</v>
      </c>
      <c r="F178" s="240">
        <f t="shared" si="12"/>
        <v>0</v>
      </c>
      <c r="G178" s="9"/>
      <c r="H178" s="241"/>
    </row>
    <row r="179" spans="1:8" ht="31.5">
      <c r="A179" s="227">
        <v>1</v>
      </c>
      <c r="B179" s="242" t="s">
        <v>595</v>
      </c>
      <c r="C179" s="242" t="s">
        <v>482</v>
      </c>
      <c r="D179" s="263">
        <v>0</v>
      </c>
      <c r="E179" s="263">
        <v>20000</v>
      </c>
      <c r="F179" s="240">
        <f t="shared" si="12"/>
        <v>0</v>
      </c>
      <c r="G179" s="9"/>
      <c r="H179" s="241"/>
    </row>
    <row r="180" spans="1:8" ht="63">
      <c r="A180" s="227">
        <v>1</v>
      </c>
      <c r="B180" s="242" t="s">
        <v>596</v>
      </c>
      <c r="C180" s="228" t="s">
        <v>549</v>
      </c>
      <c r="D180" s="229">
        <v>0</v>
      </c>
      <c r="E180" s="229">
        <v>0</v>
      </c>
      <c r="F180" s="240">
        <f t="shared" si="12"/>
        <v>0</v>
      </c>
      <c r="G180" s="238"/>
      <c r="H180" s="241"/>
    </row>
    <row r="181" spans="1:8" ht="31.5">
      <c r="A181" s="227">
        <v>1</v>
      </c>
      <c r="B181" s="242" t="s">
        <v>597</v>
      </c>
      <c r="C181" s="242" t="s">
        <v>569</v>
      </c>
      <c r="D181" s="229">
        <v>0</v>
      </c>
      <c r="E181" s="263">
        <v>0</v>
      </c>
      <c r="F181" s="240">
        <f t="shared" si="12"/>
        <v>0</v>
      </c>
      <c r="G181" s="9"/>
      <c r="H181" s="241"/>
    </row>
    <row r="182" spans="1:8" ht="78.75">
      <c r="A182" s="227">
        <v>1</v>
      </c>
      <c r="B182" s="242" t="s">
        <v>598</v>
      </c>
      <c r="C182" s="242" t="s">
        <v>589</v>
      </c>
      <c r="D182" s="263">
        <v>0</v>
      </c>
      <c r="E182" s="263">
        <v>0</v>
      </c>
      <c r="F182" s="240">
        <f t="shared" si="12"/>
        <v>0</v>
      </c>
      <c r="G182" s="9"/>
      <c r="H182" s="241"/>
    </row>
    <row r="183" spans="1:8" ht="31.5">
      <c r="A183" s="227">
        <v>1</v>
      </c>
      <c r="B183" s="242" t="s">
        <v>599</v>
      </c>
      <c r="C183" s="242" t="s">
        <v>482</v>
      </c>
      <c r="D183" s="263">
        <v>0</v>
      </c>
      <c r="E183" s="263">
        <v>0</v>
      </c>
      <c r="F183" s="240">
        <f t="shared" si="12"/>
        <v>0</v>
      </c>
      <c r="G183" s="9"/>
      <c r="H183" s="241"/>
    </row>
    <row r="184" spans="1:8" ht="31.5">
      <c r="A184" s="227">
        <v>1</v>
      </c>
      <c r="B184" s="242" t="s">
        <v>600</v>
      </c>
      <c r="C184" s="228" t="s">
        <v>482</v>
      </c>
      <c r="D184" s="229">
        <v>1500</v>
      </c>
      <c r="E184" s="229">
        <v>0</v>
      </c>
      <c r="F184" s="240">
        <f t="shared" si="12"/>
        <v>-100</v>
      </c>
      <c r="G184" s="238"/>
      <c r="H184" s="241"/>
    </row>
    <row r="185" spans="1:8" ht="31.5">
      <c r="A185" s="227">
        <v>1</v>
      </c>
      <c r="B185" s="242" t="s">
        <v>601</v>
      </c>
      <c r="C185" s="228" t="s">
        <v>556</v>
      </c>
      <c r="D185" s="229">
        <v>0</v>
      </c>
      <c r="E185" s="229">
        <v>0</v>
      </c>
      <c r="F185" s="240">
        <f t="shared" si="12"/>
        <v>0</v>
      </c>
      <c r="G185" s="238"/>
      <c r="H185" s="241"/>
    </row>
    <row r="186" spans="1:8" ht="31.5">
      <c r="A186" s="227">
        <v>1</v>
      </c>
      <c r="B186" s="242" t="s">
        <v>602</v>
      </c>
      <c r="C186" s="242" t="s">
        <v>556</v>
      </c>
      <c r="D186" s="263">
        <v>0</v>
      </c>
      <c r="E186" s="263">
        <v>0</v>
      </c>
      <c r="F186" s="240">
        <f t="shared" si="12"/>
        <v>0</v>
      </c>
      <c r="G186" s="9"/>
      <c r="H186" s="241"/>
    </row>
    <row r="187" spans="1:8" ht="47.25">
      <c r="A187" s="227">
        <v>1</v>
      </c>
      <c r="B187" s="242" t="s">
        <v>603</v>
      </c>
      <c r="C187" s="242" t="s">
        <v>569</v>
      </c>
      <c r="D187" s="263"/>
      <c r="E187" s="263">
        <v>0</v>
      </c>
      <c r="F187" s="240">
        <f t="shared" si="12"/>
        <v>0</v>
      </c>
      <c r="G187" s="9"/>
      <c r="H187" s="241"/>
    </row>
    <row r="188" spans="1:8" ht="31.5">
      <c r="A188" s="227">
        <v>1</v>
      </c>
      <c r="B188" s="243" t="s">
        <v>604</v>
      </c>
      <c r="C188" s="242" t="s">
        <v>482</v>
      </c>
      <c r="D188" s="263"/>
      <c r="E188" s="263">
        <v>0</v>
      </c>
      <c r="F188" s="240">
        <f t="shared" si="12"/>
        <v>0</v>
      </c>
      <c r="G188" s="9"/>
      <c r="H188" s="241"/>
    </row>
    <row r="189" spans="1:8" ht="31.5">
      <c r="A189" s="227">
        <v>1</v>
      </c>
      <c r="B189" s="242" t="s">
        <v>605</v>
      </c>
      <c r="C189" s="242" t="s">
        <v>482</v>
      </c>
      <c r="D189" s="263"/>
      <c r="E189" s="263">
        <v>0</v>
      </c>
      <c r="F189" s="240">
        <f t="shared" si="12"/>
        <v>0</v>
      </c>
      <c r="G189" s="9"/>
      <c r="H189" s="241"/>
    </row>
    <row r="190" spans="1:8" ht="31.5">
      <c r="A190" s="227">
        <v>1</v>
      </c>
      <c r="B190" s="243" t="s">
        <v>606</v>
      </c>
      <c r="C190" s="242" t="s">
        <v>569</v>
      </c>
      <c r="D190" s="263"/>
      <c r="E190" s="263">
        <v>0</v>
      </c>
      <c r="F190" s="240">
        <f t="shared" si="12"/>
        <v>0</v>
      </c>
      <c r="G190" s="9"/>
      <c r="H190" s="241"/>
    </row>
    <row r="191" spans="1:8" ht="31.5">
      <c r="A191" s="227">
        <v>1</v>
      </c>
      <c r="B191" s="242" t="s">
        <v>607</v>
      </c>
      <c r="C191" s="242" t="s">
        <v>482</v>
      </c>
      <c r="D191" s="263"/>
      <c r="E191" s="263">
        <v>0</v>
      </c>
      <c r="F191" s="240">
        <f t="shared" si="12"/>
        <v>0</v>
      </c>
      <c r="G191" s="9"/>
      <c r="H191" s="241"/>
    </row>
    <row r="192" spans="1:8" ht="31.5">
      <c r="A192" s="227">
        <v>1</v>
      </c>
      <c r="B192" s="242" t="s">
        <v>608</v>
      </c>
      <c r="C192" s="242" t="s">
        <v>569</v>
      </c>
      <c r="D192" s="263"/>
      <c r="E192" s="263">
        <v>0</v>
      </c>
      <c r="F192" s="240">
        <f t="shared" si="12"/>
        <v>0</v>
      </c>
      <c r="G192" s="9"/>
      <c r="H192" s="241"/>
    </row>
    <row r="193" spans="1:12" ht="47.25">
      <c r="A193" s="227">
        <v>1</v>
      </c>
      <c r="B193" s="242" t="s">
        <v>609</v>
      </c>
      <c r="C193" s="242" t="s">
        <v>569</v>
      </c>
      <c r="D193" s="263"/>
      <c r="E193" s="263">
        <v>0</v>
      </c>
      <c r="F193" s="240">
        <f t="shared" si="12"/>
        <v>0</v>
      </c>
      <c r="G193" s="9"/>
      <c r="H193" s="241"/>
    </row>
    <row r="194" spans="1:12" ht="47.25">
      <c r="A194" s="227">
        <v>1</v>
      </c>
      <c r="B194" s="242" t="s">
        <v>610</v>
      </c>
      <c r="C194" s="242" t="s">
        <v>569</v>
      </c>
      <c r="D194" s="263"/>
      <c r="E194" s="263">
        <v>0</v>
      </c>
      <c r="F194" s="240">
        <f t="shared" si="12"/>
        <v>0</v>
      </c>
      <c r="G194" s="9"/>
      <c r="H194" s="241"/>
    </row>
    <row r="195" spans="1:12" ht="31.5">
      <c r="A195" s="227">
        <v>1</v>
      </c>
      <c r="B195" s="242" t="s">
        <v>611</v>
      </c>
      <c r="C195" s="242" t="s">
        <v>569</v>
      </c>
      <c r="D195" s="263"/>
      <c r="E195" s="263">
        <v>0</v>
      </c>
      <c r="F195" s="240">
        <f t="shared" si="12"/>
        <v>0</v>
      </c>
      <c r="G195" s="9"/>
      <c r="H195" s="241"/>
    </row>
    <row r="196" spans="1:12" ht="63">
      <c r="A196" s="227">
        <v>1</v>
      </c>
      <c r="B196" s="242" t="s">
        <v>612</v>
      </c>
      <c r="C196" s="228" t="s">
        <v>556</v>
      </c>
      <c r="D196" s="263"/>
      <c r="E196" s="263">
        <v>0</v>
      </c>
      <c r="F196" s="240">
        <f t="shared" si="12"/>
        <v>0</v>
      </c>
      <c r="G196" s="9"/>
      <c r="H196" s="241"/>
    </row>
    <row r="197" spans="1:12" ht="31.5">
      <c r="A197" s="227">
        <v>1</v>
      </c>
      <c r="B197" s="242" t="s">
        <v>613</v>
      </c>
      <c r="C197" s="242" t="s">
        <v>482</v>
      </c>
      <c r="D197" s="263"/>
      <c r="E197" s="263">
        <v>0</v>
      </c>
      <c r="F197" s="240">
        <f t="shared" si="12"/>
        <v>0</v>
      </c>
      <c r="G197" s="9"/>
      <c r="H197" s="241"/>
    </row>
    <row r="198" spans="1:12" ht="31.5">
      <c r="A198" s="227">
        <v>1</v>
      </c>
      <c r="B198" s="242" t="s">
        <v>614</v>
      </c>
      <c r="C198" s="242" t="s">
        <v>482</v>
      </c>
      <c r="D198" s="263"/>
      <c r="E198" s="263">
        <v>0</v>
      </c>
      <c r="F198" s="240">
        <f t="shared" si="12"/>
        <v>0</v>
      </c>
      <c r="G198" s="9"/>
      <c r="H198" s="241"/>
    </row>
    <row r="199" spans="1:12" ht="15.75">
      <c r="A199" s="500" t="s">
        <v>386</v>
      </c>
      <c r="B199" s="500"/>
      <c r="C199" s="500"/>
      <c r="D199" s="244">
        <f>SUM(D170:D198)</f>
        <v>28000</v>
      </c>
      <c r="E199" s="244">
        <f>SUM(E170:E198)</f>
        <v>54830</v>
      </c>
      <c r="F199" s="244">
        <f>SUM(F170:F198)</f>
        <v>-68.566037735849051</v>
      </c>
      <c r="G199" s="244">
        <f>SUM(G170:G198)</f>
        <v>0</v>
      </c>
      <c r="H199" s="246">
        <f t="shared" ref="H199" si="13">IFERROR(G199/E199*100,)</f>
        <v>0</v>
      </c>
      <c r="I199" s="260"/>
      <c r="J199" s="260"/>
      <c r="L199" s="28"/>
    </row>
    <row r="200" spans="1:12" ht="27" customHeight="1">
      <c r="A200" s="249"/>
      <c r="B200" s="250"/>
      <c r="C200" s="250"/>
      <c r="D200" s="250"/>
      <c r="E200" s="250"/>
      <c r="F200" s="250"/>
      <c r="G200" s="250"/>
      <c r="H200" s="251"/>
    </row>
    <row r="201" spans="1:12" ht="15.75">
      <c r="A201" s="507" t="s">
        <v>335</v>
      </c>
      <c r="B201" s="508"/>
      <c r="C201" s="508"/>
      <c r="D201" s="508"/>
      <c r="E201" s="508"/>
      <c r="F201" s="508"/>
      <c r="G201" s="508"/>
      <c r="H201" s="509"/>
    </row>
    <row r="202" spans="1:12" ht="27" customHeight="1">
      <c r="A202" s="249"/>
      <c r="B202" s="250"/>
      <c r="C202" s="250"/>
      <c r="D202" s="250"/>
      <c r="E202" s="250"/>
      <c r="F202" s="250"/>
      <c r="G202" s="250"/>
      <c r="H202" s="251"/>
    </row>
    <row r="203" spans="1:12" ht="27" customHeight="1">
      <c r="A203" s="249"/>
      <c r="B203" s="250"/>
      <c r="C203" s="250"/>
      <c r="D203" s="250"/>
      <c r="E203" s="250"/>
      <c r="F203" s="250"/>
      <c r="G203" s="250"/>
      <c r="H203" s="251"/>
    </row>
    <row r="204" spans="1:12" ht="15.75">
      <c r="A204" s="490" t="s">
        <v>463</v>
      </c>
      <c r="B204" s="491"/>
      <c r="C204" s="492" t="s">
        <v>219</v>
      </c>
      <c r="D204" s="492"/>
      <c r="E204" s="492"/>
      <c r="F204" s="492"/>
      <c r="G204" s="492"/>
      <c r="H204" s="493"/>
    </row>
    <row r="205" spans="1:12" ht="15.75">
      <c r="A205" s="491" t="s">
        <v>180</v>
      </c>
      <c r="B205" s="491"/>
      <c r="C205" s="492" t="s">
        <v>220</v>
      </c>
      <c r="D205" s="492"/>
      <c r="E205" s="492"/>
      <c r="F205" s="492"/>
      <c r="G205" s="492"/>
      <c r="H205" s="493"/>
    </row>
    <row r="206" spans="1:12" ht="27" customHeight="1">
      <c r="A206" s="249"/>
      <c r="B206" s="250"/>
      <c r="C206" s="250"/>
      <c r="D206" s="250"/>
      <c r="E206" s="250"/>
      <c r="F206" s="250"/>
      <c r="G206" s="250" t="s">
        <v>464</v>
      </c>
      <c r="H206" s="251"/>
    </row>
    <row r="207" spans="1:12" ht="15.75">
      <c r="A207" s="494" t="s">
        <v>465</v>
      </c>
      <c r="B207" s="495"/>
      <c r="C207" s="495"/>
      <c r="D207" s="494" t="s">
        <v>466</v>
      </c>
      <c r="E207" s="495"/>
      <c r="F207" s="496"/>
      <c r="G207" s="502" t="s">
        <v>467</v>
      </c>
      <c r="H207" s="503"/>
    </row>
    <row r="208" spans="1:12" ht="15.75">
      <c r="A208" s="494" t="s">
        <v>468</v>
      </c>
      <c r="B208" s="495"/>
      <c r="C208" s="496"/>
      <c r="D208" s="494" t="s">
        <v>469</v>
      </c>
      <c r="E208" s="496"/>
      <c r="F208" s="497" t="s">
        <v>470</v>
      </c>
      <c r="G208" s="498" t="s">
        <v>471</v>
      </c>
      <c r="H208" s="498" t="s">
        <v>472</v>
      </c>
    </row>
    <row r="209" spans="1:12" ht="47.25">
      <c r="A209" s="234" t="s">
        <v>473</v>
      </c>
      <c r="B209" s="234" t="s">
        <v>474</v>
      </c>
      <c r="C209" s="235" t="s">
        <v>475</v>
      </c>
      <c r="D209" s="234" t="s">
        <v>476</v>
      </c>
      <c r="E209" s="234" t="s">
        <v>477</v>
      </c>
      <c r="F209" s="497"/>
      <c r="G209" s="499"/>
      <c r="H209" s="499"/>
    </row>
    <row r="210" spans="1:12" ht="94.5">
      <c r="A210" s="236">
        <v>9</v>
      </c>
      <c r="B210" s="242" t="s">
        <v>615</v>
      </c>
      <c r="C210" s="237" t="s">
        <v>482</v>
      </c>
      <c r="D210" s="238">
        <v>45135</v>
      </c>
      <c r="E210" s="229">
        <v>68643</v>
      </c>
      <c r="F210" s="240">
        <f t="shared" ref="F210:F216" si="14">IFERROR(E210/D210*100-100,)</f>
        <v>52.083748753738774</v>
      </c>
      <c r="G210" s="238"/>
      <c r="H210" s="241"/>
    </row>
    <row r="211" spans="1:12" ht="47.25">
      <c r="A211" s="236">
        <v>4</v>
      </c>
      <c r="B211" s="242" t="s">
        <v>565</v>
      </c>
      <c r="C211" s="237" t="s">
        <v>482</v>
      </c>
      <c r="D211" s="238">
        <v>0</v>
      </c>
      <c r="E211" s="238">
        <v>0</v>
      </c>
      <c r="F211" s="240">
        <f t="shared" si="14"/>
        <v>0</v>
      </c>
      <c r="G211" s="238"/>
      <c r="H211" s="241"/>
    </row>
    <row r="212" spans="1:12" ht="31.5">
      <c r="A212" s="236">
        <v>6</v>
      </c>
      <c r="B212" s="242" t="s">
        <v>616</v>
      </c>
      <c r="C212" s="237" t="s">
        <v>482</v>
      </c>
      <c r="D212" s="238">
        <v>5000</v>
      </c>
      <c r="E212" s="239"/>
      <c r="F212" s="240">
        <f t="shared" si="14"/>
        <v>-100</v>
      </c>
      <c r="G212" s="238"/>
      <c r="H212" s="241"/>
    </row>
    <row r="213" spans="1:12" ht="47.25">
      <c r="A213" s="236">
        <v>1</v>
      </c>
      <c r="B213" s="242" t="s">
        <v>617</v>
      </c>
      <c r="C213" s="237" t="s">
        <v>482</v>
      </c>
      <c r="D213" s="238">
        <v>5000</v>
      </c>
      <c r="E213" s="238">
        <v>0</v>
      </c>
      <c r="F213" s="240">
        <f t="shared" si="14"/>
        <v>-100</v>
      </c>
      <c r="G213" s="238"/>
      <c r="H213" s="241"/>
    </row>
    <row r="214" spans="1:12" ht="47.25">
      <c r="A214" s="236">
        <v>1</v>
      </c>
      <c r="B214" s="242" t="s">
        <v>618</v>
      </c>
      <c r="C214" s="237" t="s">
        <v>482</v>
      </c>
      <c r="D214" s="238">
        <v>5000</v>
      </c>
      <c r="E214" s="238">
        <v>0</v>
      </c>
      <c r="F214" s="240">
        <f t="shared" si="14"/>
        <v>-100</v>
      </c>
      <c r="G214" s="238"/>
      <c r="H214" s="241"/>
    </row>
    <row r="215" spans="1:12" ht="31.5">
      <c r="A215" s="236">
        <v>1</v>
      </c>
      <c r="B215" s="242" t="s">
        <v>619</v>
      </c>
      <c r="C215" s="237" t="s">
        <v>549</v>
      </c>
      <c r="D215" s="238">
        <v>0</v>
      </c>
      <c r="E215" s="238">
        <v>0</v>
      </c>
      <c r="F215" s="240">
        <f t="shared" si="14"/>
        <v>0</v>
      </c>
      <c r="G215" s="238"/>
      <c r="H215" s="241"/>
    </row>
    <row r="216" spans="1:12" ht="31.5">
      <c r="A216" s="236">
        <v>1</v>
      </c>
      <c r="B216" s="242" t="s">
        <v>620</v>
      </c>
      <c r="C216" s="237" t="s">
        <v>482</v>
      </c>
      <c r="D216" s="238">
        <v>5000</v>
      </c>
      <c r="E216" s="238">
        <v>5000</v>
      </c>
      <c r="F216" s="240">
        <f t="shared" si="14"/>
        <v>0</v>
      </c>
      <c r="G216" s="238"/>
      <c r="H216" s="241"/>
    </row>
    <row r="217" spans="1:12" ht="15.75">
      <c r="A217" s="500" t="s">
        <v>386</v>
      </c>
      <c r="B217" s="500"/>
      <c r="C217" s="500"/>
      <c r="D217" s="244">
        <f>SUM(D210:D216)</f>
        <v>65135</v>
      </c>
      <c r="E217" s="244">
        <f>SUM(E210:E216)</f>
        <v>73643</v>
      </c>
      <c r="F217" s="245">
        <f>SUM(F210:F216)</f>
        <v>-247.91625124626123</v>
      </c>
      <c r="G217" s="244">
        <f>SUM(G210:G216)</f>
        <v>0</v>
      </c>
      <c r="H217" s="246">
        <f t="shared" ref="H217" si="15">IFERROR(G217/E217*100,)</f>
        <v>0</v>
      </c>
      <c r="I217" s="260"/>
      <c r="J217" s="260"/>
      <c r="L217" s="28"/>
    </row>
    <row r="218" spans="1:12" ht="27" customHeight="1">
      <c r="A218" s="249"/>
      <c r="B218" s="250"/>
      <c r="C218" s="250"/>
      <c r="D218" s="250"/>
      <c r="E218" s="250"/>
      <c r="F218" s="250"/>
      <c r="G218" s="250"/>
      <c r="H218" s="251"/>
    </row>
    <row r="219" spans="1:12" ht="15.75">
      <c r="A219" s="507" t="s">
        <v>335</v>
      </c>
      <c r="B219" s="508"/>
      <c r="C219" s="508"/>
      <c r="D219" s="508"/>
      <c r="E219" s="508"/>
      <c r="F219" s="508"/>
      <c r="G219" s="508"/>
      <c r="H219" s="509"/>
    </row>
    <row r="220" spans="1:12" ht="27" customHeight="1">
      <c r="A220" s="249"/>
      <c r="B220" s="250"/>
      <c r="C220" s="250"/>
      <c r="D220" s="250"/>
      <c r="E220" s="250"/>
      <c r="F220" s="250"/>
      <c r="G220" s="250"/>
      <c r="H220" s="251"/>
    </row>
    <row r="221" spans="1:12" ht="27" customHeight="1">
      <c r="A221" s="249"/>
      <c r="B221" s="250"/>
      <c r="C221" s="250"/>
      <c r="D221" s="250"/>
      <c r="E221" s="250"/>
      <c r="F221" s="250"/>
      <c r="G221" s="250"/>
      <c r="H221" s="251"/>
    </row>
    <row r="222" spans="1:12" ht="15.75">
      <c r="A222" s="490" t="s">
        <v>463</v>
      </c>
      <c r="B222" s="491"/>
      <c r="C222" s="492" t="s">
        <v>223</v>
      </c>
      <c r="D222" s="492"/>
      <c r="E222" s="492"/>
      <c r="F222" s="492"/>
      <c r="G222" s="492"/>
      <c r="H222" s="493"/>
    </row>
    <row r="223" spans="1:12" ht="15.75">
      <c r="A223" s="491" t="s">
        <v>180</v>
      </c>
      <c r="B223" s="491"/>
      <c r="C223" s="492" t="s">
        <v>157</v>
      </c>
      <c r="D223" s="492"/>
      <c r="E223" s="492"/>
      <c r="F223" s="492"/>
      <c r="G223" s="492"/>
      <c r="H223" s="493"/>
    </row>
    <row r="224" spans="1:12" ht="27" customHeight="1">
      <c r="A224" s="249"/>
      <c r="B224" s="250"/>
      <c r="C224" s="250"/>
      <c r="D224" s="250"/>
      <c r="E224" s="250"/>
      <c r="F224" s="250"/>
      <c r="G224" s="250" t="s">
        <v>464</v>
      </c>
      <c r="H224" s="251"/>
    </row>
    <row r="225" spans="1:12" ht="15.75">
      <c r="A225" s="494" t="s">
        <v>465</v>
      </c>
      <c r="B225" s="495"/>
      <c r="C225" s="495"/>
      <c r="D225" s="494" t="s">
        <v>466</v>
      </c>
      <c r="E225" s="495"/>
      <c r="F225" s="496"/>
      <c r="G225" s="502" t="s">
        <v>467</v>
      </c>
      <c r="H225" s="503"/>
    </row>
    <row r="226" spans="1:12" ht="15.75">
      <c r="A226" s="494" t="s">
        <v>468</v>
      </c>
      <c r="B226" s="495"/>
      <c r="C226" s="496"/>
      <c r="D226" s="494" t="s">
        <v>469</v>
      </c>
      <c r="E226" s="496"/>
      <c r="F226" s="497" t="s">
        <v>470</v>
      </c>
      <c r="G226" s="498" t="s">
        <v>471</v>
      </c>
      <c r="H226" s="498" t="s">
        <v>472</v>
      </c>
    </row>
    <row r="227" spans="1:12" ht="47.25">
      <c r="A227" s="234" t="s">
        <v>473</v>
      </c>
      <c r="B227" s="234" t="s">
        <v>474</v>
      </c>
      <c r="C227" s="235" t="s">
        <v>475</v>
      </c>
      <c r="D227" s="234" t="s">
        <v>476</v>
      </c>
      <c r="E227" s="234" t="s">
        <v>477</v>
      </c>
      <c r="F227" s="497"/>
      <c r="G227" s="499"/>
      <c r="H227" s="499"/>
    </row>
    <row r="228" spans="1:12" ht="63">
      <c r="A228" s="255">
        <v>30</v>
      </c>
      <c r="B228" s="242" t="s">
        <v>621</v>
      </c>
      <c r="C228" s="237" t="s">
        <v>482</v>
      </c>
      <c r="D228" s="238">
        <v>80000</v>
      </c>
      <c r="E228" s="229">
        <v>80000</v>
      </c>
      <c r="F228" s="240">
        <f t="shared" ref="F228" si="16">IFERROR(E228/D228*100-100,)</f>
        <v>0</v>
      </c>
      <c r="G228" s="238"/>
      <c r="H228" s="241"/>
    </row>
    <row r="229" spans="1:12" ht="15.75">
      <c r="A229" s="500" t="s">
        <v>386</v>
      </c>
      <c r="B229" s="500"/>
      <c r="C229" s="500"/>
      <c r="D229" s="244">
        <f>SUM(D228:D228)</f>
        <v>80000</v>
      </c>
      <c r="E229" s="244">
        <f>SUM(E228:E228)</f>
        <v>80000</v>
      </c>
      <c r="F229" s="244">
        <f>SUM(F228:F228)</f>
        <v>0</v>
      </c>
      <c r="G229" s="244">
        <f>SUM(G228:G228)</f>
        <v>0</v>
      </c>
      <c r="H229" s="246">
        <f t="shared" ref="H229" si="17">IFERROR(G229/E229*100,)</f>
        <v>0</v>
      </c>
      <c r="I229" s="260"/>
      <c r="J229" s="260"/>
      <c r="L229" s="28"/>
    </row>
    <row r="230" spans="1:12" ht="27" customHeight="1">
      <c r="A230" s="249"/>
      <c r="B230" s="250"/>
      <c r="C230" s="250"/>
      <c r="D230" s="250"/>
      <c r="E230" s="250"/>
      <c r="F230" s="250"/>
      <c r="G230" s="250"/>
      <c r="H230" s="251"/>
    </row>
    <row r="231" spans="1:12" ht="15.75">
      <c r="A231" s="507" t="s">
        <v>335</v>
      </c>
      <c r="B231" s="508"/>
      <c r="C231" s="508"/>
      <c r="D231" s="508"/>
      <c r="E231" s="508"/>
      <c r="F231" s="508"/>
      <c r="G231" s="508"/>
      <c r="H231" s="509"/>
    </row>
    <row r="232" spans="1:12" ht="27" customHeight="1">
      <c r="A232" s="249"/>
      <c r="B232" s="250"/>
      <c r="C232" s="250"/>
      <c r="D232" s="250"/>
      <c r="E232" s="250"/>
      <c r="F232" s="250"/>
      <c r="G232" s="250"/>
      <c r="H232" s="251"/>
    </row>
    <row r="233" spans="1:12" ht="27" customHeight="1">
      <c r="A233" s="249"/>
      <c r="B233" s="250"/>
      <c r="C233" s="250"/>
      <c r="D233" s="250"/>
      <c r="E233" s="250"/>
      <c r="F233" s="250"/>
      <c r="G233" s="250"/>
      <c r="H233" s="251"/>
    </row>
    <row r="234" spans="1:12" ht="15.75">
      <c r="A234" s="490" t="s">
        <v>463</v>
      </c>
      <c r="B234" s="491"/>
      <c r="C234" s="492" t="s">
        <v>226</v>
      </c>
      <c r="D234" s="492"/>
      <c r="E234" s="492"/>
      <c r="F234" s="492"/>
      <c r="G234" s="492"/>
      <c r="H234" s="493"/>
    </row>
    <row r="235" spans="1:12" ht="15.75">
      <c r="A235" s="491" t="s">
        <v>180</v>
      </c>
      <c r="B235" s="491"/>
      <c r="C235" s="492" t="s">
        <v>145</v>
      </c>
      <c r="D235" s="492"/>
      <c r="E235" s="492"/>
      <c r="F235" s="492"/>
      <c r="G235" s="492"/>
      <c r="H235" s="493"/>
    </row>
    <row r="236" spans="1:12" ht="27" customHeight="1">
      <c r="A236" s="249"/>
      <c r="B236" s="250"/>
      <c r="C236" s="250"/>
      <c r="D236" s="250"/>
      <c r="E236" s="250"/>
      <c r="F236" s="250"/>
      <c r="G236" s="250"/>
      <c r="H236" s="251"/>
    </row>
    <row r="237" spans="1:12" ht="15.75">
      <c r="A237" s="494" t="s">
        <v>465</v>
      </c>
      <c r="B237" s="495"/>
      <c r="C237" s="495"/>
      <c r="D237" s="494" t="s">
        <v>466</v>
      </c>
      <c r="E237" s="495"/>
      <c r="F237" s="496"/>
      <c r="G237" s="502" t="s">
        <v>467</v>
      </c>
      <c r="H237" s="503"/>
    </row>
    <row r="238" spans="1:12" ht="15.75">
      <c r="A238" s="494" t="s">
        <v>468</v>
      </c>
      <c r="B238" s="495"/>
      <c r="C238" s="496"/>
      <c r="D238" s="494" t="s">
        <v>469</v>
      </c>
      <c r="E238" s="496"/>
      <c r="F238" s="497" t="s">
        <v>470</v>
      </c>
      <c r="G238" s="498" t="s">
        <v>471</v>
      </c>
      <c r="H238" s="498" t="s">
        <v>472</v>
      </c>
    </row>
    <row r="239" spans="1:12" ht="47.25">
      <c r="A239" s="234" t="s">
        <v>473</v>
      </c>
      <c r="B239" s="234" t="s">
        <v>474</v>
      </c>
      <c r="C239" s="235" t="s">
        <v>475</v>
      </c>
      <c r="D239" s="234" t="s">
        <v>476</v>
      </c>
      <c r="E239" s="234" t="s">
        <v>477</v>
      </c>
      <c r="F239" s="497"/>
      <c r="G239" s="499"/>
      <c r="H239" s="499"/>
    </row>
    <row r="240" spans="1:12" ht="94.5">
      <c r="A240" s="255">
        <v>8</v>
      </c>
      <c r="B240" s="242" t="s">
        <v>622</v>
      </c>
      <c r="C240" s="237" t="s">
        <v>482</v>
      </c>
      <c r="D240" s="238">
        <v>42720</v>
      </c>
      <c r="E240" s="229">
        <v>38124</v>
      </c>
      <c r="F240" s="240">
        <f t="shared" ref="F240" si="18">IFERROR(E240/D240*100-100,)</f>
        <v>-10.758426966292134</v>
      </c>
      <c r="G240" s="238"/>
      <c r="H240" s="241"/>
    </row>
    <row r="241" spans="1:12" ht="15.75">
      <c r="A241" s="500" t="s">
        <v>386</v>
      </c>
      <c r="B241" s="500"/>
      <c r="C241" s="500"/>
      <c r="D241" s="244">
        <f>SUM(D240:D240)</f>
        <v>42720</v>
      </c>
      <c r="E241" s="244">
        <f>SUM(E240:E240)</f>
        <v>38124</v>
      </c>
      <c r="F241" s="244">
        <f>SUM(F240:F240)</f>
        <v>-10.758426966292134</v>
      </c>
      <c r="G241" s="244">
        <f>SUM(G240:G240)</f>
        <v>0</v>
      </c>
      <c r="H241" s="246">
        <f t="shared" ref="H241" si="19">IFERROR(G241/E241*100,)</f>
        <v>0</v>
      </c>
      <c r="I241" s="260"/>
      <c r="J241" s="260"/>
      <c r="L241" s="28"/>
    </row>
    <row r="242" spans="1:12" ht="27" customHeight="1">
      <c r="A242" s="249"/>
      <c r="B242" s="250"/>
      <c r="C242" s="250"/>
      <c r="D242" s="250"/>
      <c r="E242" s="250"/>
      <c r="F242" s="250"/>
      <c r="G242" s="250"/>
      <c r="H242" s="251"/>
    </row>
    <row r="243" spans="1:12" ht="15.75">
      <c r="A243" s="507" t="s">
        <v>335</v>
      </c>
      <c r="B243" s="508"/>
      <c r="C243" s="508"/>
      <c r="D243" s="508"/>
      <c r="E243" s="508"/>
      <c r="F243" s="508"/>
      <c r="G243" s="508"/>
      <c r="H243" s="509"/>
    </row>
    <row r="244" spans="1:12" ht="27" customHeight="1">
      <c r="A244" s="249"/>
      <c r="B244" s="250"/>
      <c r="C244" s="250"/>
      <c r="D244" s="250"/>
      <c r="E244" s="250"/>
      <c r="F244" s="250"/>
      <c r="G244" s="250"/>
      <c r="H244" s="251"/>
    </row>
    <row r="245" spans="1:12" ht="27" customHeight="1">
      <c r="A245" s="249"/>
      <c r="B245" s="250"/>
      <c r="C245" s="250"/>
      <c r="D245" s="250"/>
      <c r="E245" s="250"/>
      <c r="F245" s="250"/>
      <c r="G245" s="250"/>
      <c r="H245" s="251"/>
    </row>
    <row r="246" spans="1:12" ht="15.75">
      <c r="A246" s="490" t="s">
        <v>463</v>
      </c>
      <c r="B246" s="491"/>
      <c r="C246" s="492" t="s">
        <v>623</v>
      </c>
      <c r="D246" s="492"/>
      <c r="E246" s="492"/>
      <c r="F246" s="492"/>
      <c r="G246" s="492"/>
      <c r="H246" s="493"/>
    </row>
    <row r="247" spans="1:12" ht="15.75">
      <c r="A247" s="491" t="s">
        <v>180</v>
      </c>
      <c r="B247" s="491"/>
      <c r="C247" s="492" t="s">
        <v>75</v>
      </c>
      <c r="D247" s="492"/>
      <c r="E247" s="492"/>
      <c r="F247" s="492"/>
      <c r="G247" s="492"/>
      <c r="H247" s="493"/>
    </row>
    <row r="248" spans="1:12" ht="27" customHeight="1">
      <c r="A248" s="249"/>
      <c r="B248" s="250"/>
      <c r="C248" s="250"/>
      <c r="D248" s="250"/>
      <c r="E248" s="250"/>
      <c r="F248" s="250"/>
      <c r="G248" s="250" t="s">
        <v>464</v>
      </c>
      <c r="H248" s="251"/>
    </row>
    <row r="249" spans="1:12" ht="15.75">
      <c r="A249" s="494" t="s">
        <v>465</v>
      </c>
      <c r="B249" s="495"/>
      <c r="C249" s="495"/>
      <c r="D249" s="494" t="s">
        <v>466</v>
      </c>
      <c r="E249" s="495"/>
      <c r="F249" s="496"/>
      <c r="G249" s="502" t="s">
        <v>467</v>
      </c>
      <c r="H249" s="503"/>
    </row>
    <row r="250" spans="1:12" ht="15.75">
      <c r="A250" s="494" t="s">
        <v>468</v>
      </c>
      <c r="B250" s="495"/>
      <c r="C250" s="496"/>
      <c r="D250" s="494" t="s">
        <v>469</v>
      </c>
      <c r="E250" s="496"/>
      <c r="F250" s="497" t="s">
        <v>470</v>
      </c>
      <c r="G250" s="498" t="s">
        <v>471</v>
      </c>
      <c r="H250" s="498" t="s">
        <v>472</v>
      </c>
    </row>
    <row r="251" spans="1:12" ht="47.25">
      <c r="A251" s="234" t="s">
        <v>473</v>
      </c>
      <c r="B251" s="234" t="s">
        <v>474</v>
      </c>
      <c r="C251" s="235" t="s">
        <v>475</v>
      </c>
      <c r="D251" s="234" t="s">
        <v>476</v>
      </c>
      <c r="E251" s="234" t="s">
        <v>477</v>
      </c>
      <c r="F251" s="497"/>
      <c r="G251" s="499"/>
      <c r="H251" s="499"/>
    </row>
    <row r="252" spans="1:12" ht="63">
      <c r="A252" s="255">
        <v>1</v>
      </c>
      <c r="B252" s="242" t="s">
        <v>624</v>
      </c>
      <c r="C252" s="237" t="s">
        <v>549</v>
      </c>
      <c r="D252" s="238">
        <v>150000</v>
      </c>
      <c r="E252" s="229">
        <v>150000</v>
      </c>
      <c r="F252" s="240">
        <f t="shared" ref="F252" si="20">IFERROR(E252/D252*100-100,)</f>
        <v>0</v>
      </c>
      <c r="G252" s="238"/>
      <c r="H252" s="241"/>
    </row>
    <row r="253" spans="1:12" ht="15.75">
      <c r="A253" s="500"/>
      <c r="B253" s="500"/>
      <c r="C253" s="500"/>
      <c r="D253" s="244">
        <f>SUM(D252:D252)</f>
        <v>150000</v>
      </c>
      <c r="E253" s="244">
        <f>SUM(E252:E252)</f>
        <v>150000</v>
      </c>
      <c r="F253" s="244">
        <f>SUM(F252:F252)</f>
        <v>0</v>
      </c>
      <c r="G253" s="244">
        <f>SUM(G252:G252)</f>
        <v>0</v>
      </c>
      <c r="H253" s="246">
        <f t="shared" ref="H253" si="21">IFERROR(G253/E253*100,)</f>
        <v>0</v>
      </c>
      <c r="I253" s="260"/>
      <c r="J253" s="260"/>
      <c r="L253" s="28"/>
    </row>
    <row r="254" spans="1:12" ht="27" customHeight="1">
      <c r="A254" s="249"/>
      <c r="B254" s="250"/>
      <c r="C254" s="250"/>
      <c r="D254" s="250"/>
      <c r="E254" s="250"/>
      <c r="F254" s="250"/>
      <c r="G254" s="250"/>
      <c r="H254" s="251"/>
    </row>
    <row r="255" spans="1:12" ht="15.75">
      <c r="A255" s="507" t="s">
        <v>335</v>
      </c>
      <c r="B255" s="508"/>
      <c r="C255" s="508"/>
      <c r="D255" s="508"/>
      <c r="E255" s="508"/>
      <c r="F255" s="508"/>
      <c r="G255" s="508"/>
      <c r="H255" s="509"/>
    </row>
    <row r="256" spans="1:12" ht="27" customHeight="1">
      <c r="A256" s="249"/>
      <c r="B256" s="250"/>
      <c r="C256" s="250"/>
      <c r="D256" s="250"/>
      <c r="E256" s="250"/>
      <c r="F256" s="250"/>
      <c r="G256" s="250"/>
      <c r="H256" s="251"/>
    </row>
    <row r="257" spans="1:12" ht="27" customHeight="1">
      <c r="A257" s="249"/>
      <c r="B257" s="250"/>
      <c r="C257" s="250"/>
      <c r="D257" s="250"/>
      <c r="E257" s="250"/>
      <c r="F257" s="250"/>
      <c r="G257" s="250"/>
      <c r="H257" s="251"/>
    </row>
    <row r="258" spans="1:12" ht="15.75">
      <c r="A258" s="490" t="s">
        <v>463</v>
      </c>
      <c r="B258" s="491"/>
      <c r="C258" s="492" t="s">
        <v>625</v>
      </c>
      <c r="D258" s="492"/>
      <c r="E258" s="492"/>
      <c r="F258" s="492"/>
      <c r="G258" s="492"/>
      <c r="H258" s="493"/>
    </row>
    <row r="259" spans="1:12" ht="15.75">
      <c r="A259" s="491" t="s">
        <v>180</v>
      </c>
      <c r="B259" s="491"/>
      <c r="C259" s="492" t="s">
        <v>213</v>
      </c>
      <c r="D259" s="492"/>
      <c r="E259" s="492"/>
      <c r="F259" s="492"/>
      <c r="G259" s="492"/>
      <c r="H259" s="493"/>
    </row>
    <row r="260" spans="1:12" ht="27" customHeight="1">
      <c r="A260" s="249"/>
      <c r="B260" s="250"/>
      <c r="C260" s="250"/>
      <c r="D260" s="250"/>
      <c r="E260" s="250"/>
      <c r="F260" s="250"/>
      <c r="G260" s="250" t="s">
        <v>464</v>
      </c>
      <c r="H260" s="251"/>
    </row>
    <row r="261" spans="1:12" ht="15.75">
      <c r="A261" s="494" t="s">
        <v>465</v>
      </c>
      <c r="B261" s="495"/>
      <c r="C261" s="495"/>
      <c r="D261" s="494" t="s">
        <v>466</v>
      </c>
      <c r="E261" s="495"/>
      <c r="F261" s="496"/>
      <c r="G261" s="502" t="s">
        <v>467</v>
      </c>
      <c r="H261" s="503"/>
    </row>
    <row r="262" spans="1:12" ht="15.75">
      <c r="A262" s="494" t="s">
        <v>468</v>
      </c>
      <c r="B262" s="495"/>
      <c r="C262" s="496"/>
      <c r="D262" s="494" t="s">
        <v>469</v>
      </c>
      <c r="E262" s="496"/>
      <c r="F262" s="497" t="s">
        <v>470</v>
      </c>
      <c r="G262" s="498" t="s">
        <v>471</v>
      </c>
      <c r="H262" s="498" t="s">
        <v>472</v>
      </c>
    </row>
    <row r="263" spans="1:12" ht="47.25">
      <c r="A263" s="234" t="s">
        <v>473</v>
      </c>
      <c r="B263" s="234" t="s">
        <v>474</v>
      </c>
      <c r="C263" s="235" t="s">
        <v>475</v>
      </c>
      <c r="D263" s="234" t="s">
        <v>476</v>
      </c>
      <c r="E263" s="234" t="s">
        <v>477</v>
      </c>
      <c r="F263" s="497"/>
      <c r="G263" s="499"/>
      <c r="H263" s="499"/>
    </row>
    <row r="264" spans="1:12" ht="15.75">
      <c r="A264" s="252">
        <v>1</v>
      </c>
      <c r="B264" s="243" t="s">
        <v>626</v>
      </c>
      <c r="C264" s="237" t="s">
        <v>549</v>
      </c>
      <c r="D264" s="238">
        <v>150000</v>
      </c>
      <c r="E264" s="229">
        <v>150000</v>
      </c>
      <c r="F264" s="240">
        <f t="shared" ref="F264" si="22">IFERROR(E264/D264*100-100,)</f>
        <v>0</v>
      </c>
      <c r="G264" s="238"/>
      <c r="H264" s="241"/>
    </row>
    <row r="265" spans="1:12" ht="15.75">
      <c r="A265" s="500" t="s">
        <v>386</v>
      </c>
      <c r="B265" s="500"/>
      <c r="C265" s="500"/>
      <c r="D265" s="244">
        <f>SUM(D264:D264)</f>
        <v>150000</v>
      </c>
      <c r="E265" s="244">
        <f>SUM(E264:E264)</f>
        <v>150000</v>
      </c>
      <c r="F265" s="245">
        <f>SUM(F264)</f>
        <v>0</v>
      </c>
      <c r="G265" s="244">
        <f>G264</f>
        <v>0</v>
      </c>
      <c r="H265" s="246">
        <f t="shared" ref="H265" si="23">IFERROR(G265/E265*100,)</f>
        <v>0</v>
      </c>
      <c r="I265" s="260"/>
      <c r="J265" s="260"/>
      <c r="L265" s="28"/>
    </row>
    <row r="266" spans="1:12" ht="27" customHeight="1">
      <c r="A266" s="249"/>
      <c r="B266" s="250"/>
      <c r="C266" s="250"/>
      <c r="D266" s="250"/>
      <c r="E266" s="250"/>
      <c r="F266" s="250"/>
      <c r="G266" s="250"/>
      <c r="H266" s="251"/>
    </row>
    <row r="267" spans="1:12" ht="15.75">
      <c r="A267" s="507" t="s">
        <v>335</v>
      </c>
      <c r="B267" s="508"/>
      <c r="C267" s="508"/>
      <c r="D267" s="508"/>
      <c r="E267" s="508"/>
      <c r="F267" s="508"/>
      <c r="G267" s="508"/>
      <c r="H267" s="509"/>
    </row>
    <row r="268" spans="1:12" ht="27" customHeight="1">
      <c r="A268" s="249"/>
      <c r="B268" s="250"/>
      <c r="C268" s="250"/>
      <c r="D268" s="250"/>
      <c r="E268" s="250"/>
      <c r="F268" s="250"/>
      <c r="G268" s="250"/>
      <c r="H268" s="251"/>
    </row>
    <row r="269" spans="1:12" ht="27" customHeight="1">
      <c r="A269" s="249"/>
      <c r="B269" s="250"/>
      <c r="C269" s="250"/>
      <c r="D269" s="250"/>
      <c r="E269" s="250"/>
      <c r="F269" s="250"/>
      <c r="G269" s="250"/>
      <c r="H269" s="251"/>
    </row>
    <row r="270" spans="1:12" ht="15.75">
      <c r="A270" s="490" t="s">
        <v>463</v>
      </c>
      <c r="B270" s="491"/>
      <c r="C270" s="492" t="s">
        <v>237</v>
      </c>
      <c r="D270" s="492"/>
      <c r="E270" s="492"/>
      <c r="F270" s="492"/>
      <c r="G270" s="492"/>
      <c r="H270" s="493"/>
    </row>
    <row r="271" spans="1:12" ht="15.75">
      <c r="A271" s="491" t="s">
        <v>180</v>
      </c>
      <c r="B271" s="491"/>
      <c r="C271" s="492" t="s">
        <v>75</v>
      </c>
      <c r="D271" s="492"/>
      <c r="E271" s="492"/>
      <c r="F271" s="492"/>
      <c r="G271" s="492"/>
      <c r="H271" s="493"/>
    </row>
    <row r="272" spans="1:12" ht="27" customHeight="1">
      <c r="A272" s="249"/>
      <c r="B272" s="250"/>
      <c r="C272" s="250"/>
      <c r="D272" s="250"/>
      <c r="E272" s="250"/>
      <c r="F272" s="250"/>
      <c r="G272" s="250" t="s">
        <v>464</v>
      </c>
      <c r="H272" s="251"/>
    </row>
    <row r="273" spans="1:12" ht="15.75">
      <c r="A273" s="494" t="s">
        <v>465</v>
      </c>
      <c r="B273" s="495"/>
      <c r="C273" s="495"/>
      <c r="D273" s="494" t="s">
        <v>466</v>
      </c>
      <c r="E273" s="495"/>
      <c r="F273" s="496"/>
      <c r="G273" s="502" t="s">
        <v>467</v>
      </c>
      <c r="H273" s="503"/>
    </row>
    <row r="274" spans="1:12" ht="15.75">
      <c r="A274" s="494" t="s">
        <v>468</v>
      </c>
      <c r="B274" s="495"/>
      <c r="C274" s="496"/>
      <c r="D274" s="494" t="s">
        <v>469</v>
      </c>
      <c r="E274" s="496"/>
      <c r="F274" s="497" t="s">
        <v>470</v>
      </c>
      <c r="G274" s="498" t="s">
        <v>471</v>
      </c>
      <c r="H274" s="498" t="s">
        <v>472</v>
      </c>
    </row>
    <row r="275" spans="1:12" ht="47.25">
      <c r="A275" s="234" t="s">
        <v>473</v>
      </c>
      <c r="B275" s="234" t="s">
        <v>474</v>
      </c>
      <c r="C275" s="235" t="s">
        <v>475</v>
      </c>
      <c r="D275" s="234" t="s">
        <v>476</v>
      </c>
      <c r="E275" s="234" t="s">
        <v>477</v>
      </c>
      <c r="F275" s="497"/>
      <c r="G275" s="499"/>
      <c r="H275" s="499"/>
    </row>
    <row r="276" spans="1:12" ht="15.75">
      <c r="A276" s="252">
        <v>1</v>
      </c>
      <c r="B276" s="243" t="s">
        <v>627</v>
      </c>
      <c r="C276" s="237" t="s">
        <v>482</v>
      </c>
      <c r="D276" s="238">
        <v>22800</v>
      </c>
      <c r="E276" s="229">
        <v>22800</v>
      </c>
      <c r="F276" s="240">
        <f t="shared" ref="F276" si="24">IFERROR(E276/D276*100-100,)</f>
        <v>0</v>
      </c>
      <c r="G276" s="238"/>
      <c r="H276" s="241"/>
    </row>
    <row r="277" spans="1:12" ht="15.75">
      <c r="A277" s="500" t="s">
        <v>386</v>
      </c>
      <c r="B277" s="500"/>
      <c r="C277" s="500"/>
      <c r="D277" s="244">
        <f>SUM(D276:D276)</f>
        <v>22800</v>
      </c>
      <c r="E277" s="244">
        <f>SUM(E276:E276)</f>
        <v>22800</v>
      </c>
      <c r="F277" s="245">
        <f t="shared" ref="F277" si="25">IFERROR(E277/D277*100-100,)</f>
        <v>0</v>
      </c>
      <c r="G277" s="244">
        <f>G276</f>
        <v>0</v>
      </c>
      <c r="H277" s="246">
        <f t="shared" ref="H277" si="26">IFERROR(G277/E277*100,)</f>
        <v>0</v>
      </c>
      <c r="I277" s="260"/>
      <c r="J277" s="260"/>
      <c r="L277" s="28"/>
    </row>
    <row r="278" spans="1:12" ht="15.75">
      <c r="A278" s="507" t="s">
        <v>335</v>
      </c>
      <c r="B278" s="508"/>
      <c r="C278" s="508"/>
      <c r="D278" s="508"/>
      <c r="E278" s="508"/>
      <c r="F278" s="508"/>
      <c r="G278" s="508"/>
      <c r="H278" s="509"/>
    </row>
    <row r="279" spans="1:12" ht="27" customHeight="1">
      <c r="A279" s="249"/>
      <c r="B279" s="250"/>
      <c r="C279" s="250"/>
      <c r="D279" s="250"/>
      <c r="E279" s="250"/>
      <c r="F279" s="250"/>
      <c r="G279" s="250"/>
      <c r="H279" s="251"/>
    </row>
    <row r="280" spans="1:12" ht="27" customHeight="1">
      <c r="A280" s="249"/>
      <c r="B280" s="250"/>
      <c r="C280" s="250"/>
      <c r="D280" s="250"/>
      <c r="E280" s="250"/>
      <c r="F280" s="250"/>
      <c r="G280" s="250"/>
      <c r="H280" s="251"/>
    </row>
    <row r="281" spans="1:12" ht="15.75">
      <c r="A281" s="490" t="s">
        <v>463</v>
      </c>
      <c r="B281" s="491"/>
      <c r="C281" s="492" t="s">
        <v>628</v>
      </c>
      <c r="D281" s="492"/>
      <c r="E281" s="492"/>
      <c r="F281" s="492"/>
      <c r="G281" s="492"/>
      <c r="H281" s="493"/>
    </row>
    <row r="282" spans="1:12" ht="15.75">
      <c r="A282" s="491" t="s">
        <v>180</v>
      </c>
      <c r="B282" s="491"/>
      <c r="C282" s="492" t="s">
        <v>119</v>
      </c>
      <c r="D282" s="492"/>
      <c r="E282" s="492"/>
      <c r="F282" s="492"/>
      <c r="G282" s="492"/>
      <c r="H282" s="493"/>
    </row>
    <row r="283" spans="1:12" ht="27" customHeight="1">
      <c r="A283" s="249"/>
      <c r="B283" s="250"/>
      <c r="C283" s="250"/>
      <c r="D283" s="250"/>
      <c r="E283" s="250"/>
      <c r="F283" s="250"/>
      <c r="G283" s="250" t="s">
        <v>464</v>
      </c>
      <c r="H283" s="251"/>
    </row>
    <row r="284" spans="1:12" ht="15.75">
      <c r="A284" s="494" t="s">
        <v>465</v>
      </c>
      <c r="B284" s="495"/>
      <c r="C284" s="495"/>
      <c r="D284" s="494" t="s">
        <v>466</v>
      </c>
      <c r="E284" s="495"/>
      <c r="F284" s="496"/>
      <c r="G284" s="502" t="s">
        <v>467</v>
      </c>
      <c r="H284" s="503"/>
    </row>
    <row r="285" spans="1:12" ht="15.75">
      <c r="A285" s="494" t="s">
        <v>468</v>
      </c>
      <c r="B285" s="495"/>
      <c r="C285" s="496"/>
      <c r="D285" s="494" t="s">
        <v>469</v>
      </c>
      <c r="E285" s="496"/>
      <c r="F285" s="497" t="s">
        <v>470</v>
      </c>
      <c r="G285" s="498" t="s">
        <v>471</v>
      </c>
      <c r="H285" s="498" t="s">
        <v>472</v>
      </c>
    </row>
    <row r="286" spans="1:12" ht="47.25">
      <c r="A286" s="234" t="s">
        <v>473</v>
      </c>
      <c r="B286" s="234" t="s">
        <v>474</v>
      </c>
      <c r="C286" s="235" t="s">
        <v>475</v>
      </c>
      <c r="D286" s="234" t="s">
        <v>476</v>
      </c>
      <c r="E286" s="234" t="s">
        <v>477</v>
      </c>
      <c r="F286" s="497"/>
      <c r="G286" s="499"/>
      <c r="H286" s="499"/>
    </row>
    <row r="287" spans="1:12" ht="141.75">
      <c r="A287" s="255">
        <v>1</v>
      </c>
      <c r="B287" s="253" t="s">
        <v>629</v>
      </c>
      <c r="C287" s="237" t="s">
        <v>549</v>
      </c>
      <c r="D287" s="238">
        <v>300000</v>
      </c>
      <c r="E287" s="229">
        <v>300000</v>
      </c>
      <c r="F287" s="240">
        <f t="shared" ref="F287" si="27">IFERROR(E287/D287*100-100,)</f>
        <v>0</v>
      </c>
      <c r="G287" s="238"/>
      <c r="H287" s="241"/>
    </row>
    <row r="288" spans="1:12" ht="15.75">
      <c r="A288" s="500"/>
      <c r="B288" s="500"/>
      <c r="C288" s="500"/>
      <c r="D288" s="244">
        <f>D287</f>
        <v>300000</v>
      </c>
      <c r="E288" s="244">
        <f>E287</f>
        <v>300000</v>
      </c>
      <c r="F288" s="245">
        <f>SUM(F287)</f>
        <v>0</v>
      </c>
      <c r="G288" s="244"/>
      <c r="H288" s="246"/>
      <c r="I288" s="260"/>
      <c r="J288" s="260"/>
      <c r="L288" s="28"/>
    </row>
    <row r="289" spans="1:12" ht="15.75">
      <c r="A289" s="258"/>
      <c r="B289" s="259"/>
      <c r="C289" s="259"/>
      <c r="D289" s="259"/>
      <c r="E289" s="259"/>
      <c r="F289" s="259"/>
      <c r="G289" s="259"/>
      <c r="H289" s="259"/>
    </row>
    <row r="290" spans="1:12" ht="15.75">
      <c r="A290" s="507" t="s">
        <v>335</v>
      </c>
      <c r="B290" s="508"/>
      <c r="C290" s="508"/>
      <c r="D290" s="508"/>
      <c r="E290" s="508"/>
      <c r="F290" s="508"/>
      <c r="G290" s="508"/>
      <c r="H290" s="509"/>
    </row>
    <row r="291" spans="1:12" ht="27" customHeight="1">
      <c r="A291" s="249"/>
      <c r="B291" s="250"/>
      <c r="C291" s="250"/>
      <c r="D291" s="250"/>
      <c r="E291" s="250"/>
      <c r="F291" s="250"/>
      <c r="G291" s="250"/>
      <c r="H291" s="251"/>
    </row>
    <row r="292" spans="1:12" ht="27" customHeight="1">
      <c r="A292" s="249"/>
      <c r="B292" s="250"/>
      <c r="C292" s="250"/>
      <c r="D292" s="250"/>
      <c r="E292" s="250"/>
      <c r="F292" s="250"/>
      <c r="G292" s="250"/>
      <c r="H292" s="251"/>
    </row>
    <row r="293" spans="1:12" ht="15.75">
      <c r="A293" s="490" t="s">
        <v>463</v>
      </c>
      <c r="B293" s="491"/>
      <c r="C293" s="492" t="s">
        <v>242</v>
      </c>
      <c r="D293" s="492"/>
      <c r="E293" s="492"/>
      <c r="F293" s="492"/>
      <c r="G293" s="492"/>
      <c r="H293" s="493"/>
    </row>
    <row r="294" spans="1:12" ht="15.75">
      <c r="A294" s="491" t="s">
        <v>180</v>
      </c>
      <c r="B294" s="491"/>
      <c r="C294" s="492" t="s">
        <v>220</v>
      </c>
      <c r="D294" s="492"/>
      <c r="E294" s="492"/>
      <c r="F294" s="492"/>
      <c r="G294" s="492"/>
      <c r="H294" s="493"/>
    </row>
    <row r="295" spans="1:12" ht="27" customHeight="1">
      <c r="A295" s="249"/>
      <c r="B295" s="250"/>
      <c r="C295" s="250"/>
      <c r="D295" s="250"/>
      <c r="E295" s="250"/>
      <c r="F295" s="250"/>
      <c r="G295" s="250" t="s">
        <v>464</v>
      </c>
      <c r="H295" s="251"/>
    </row>
    <row r="296" spans="1:12" ht="15.75">
      <c r="A296" s="494" t="s">
        <v>465</v>
      </c>
      <c r="B296" s="495"/>
      <c r="C296" s="495"/>
      <c r="D296" s="494" t="s">
        <v>466</v>
      </c>
      <c r="E296" s="495"/>
      <c r="F296" s="496"/>
      <c r="G296" s="502" t="s">
        <v>467</v>
      </c>
      <c r="H296" s="503"/>
    </row>
    <row r="297" spans="1:12" ht="15.75">
      <c r="A297" s="494" t="s">
        <v>468</v>
      </c>
      <c r="B297" s="495"/>
      <c r="C297" s="496"/>
      <c r="D297" s="494" t="s">
        <v>469</v>
      </c>
      <c r="E297" s="496"/>
      <c r="F297" s="497" t="s">
        <v>470</v>
      </c>
      <c r="G297" s="498" t="s">
        <v>471</v>
      </c>
      <c r="H297" s="498" t="s">
        <v>472</v>
      </c>
    </row>
    <row r="298" spans="1:12" ht="47.25">
      <c r="A298" s="234" t="s">
        <v>473</v>
      </c>
      <c r="B298" s="234" t="s">
        <v>474</v>
      </c>
      <c r="C298" s="235" t="s">
        <v>475</v>
      </c>
      <c r="D298" s="234" t="s">
        <v>476</v>
      </c>
      <c r="E298" s="234" t="s">
        <v>477</v>
      </c>
      <c r="F298" s="497"/>
      <c r="G298" s="499"/>
      <c r="H298" s="499"/>
    </row>
    <row r="299" spans="1:12" ht="78.75">
      <c r="A299" s="255">
        <v>30</v>
      </c>
      <c r="B299" s="242" t="s">
        <v>630</v>
      </c>
      <c r="C299" s="237" t="s">
        <v>561</v>
      </c>
      <c r="D299" s="238">
        <v>17047.27</v>
      </c>
      <c r="E299" s="229">
        <v>40000</v>
      </c>
      <c r="F299" s="240">
        <f t="shared" ref="F299" si="28">IFERROR(E299/D299*100-100,)</f>
        <v>134.64167576391995</v>
      </c>
      <c r="G299" s="238"/>
      <c r="H299" s="241"/>
    </row>
    <row r="300" spans="1:12" ht="15.75">
      <c r="A300" s="500" t="s">
        <v>386</v>
      </c>
      <c r="B300" s="500"/>
      <c r="C300" s="500"/>
      <c r="D300" s="244">
        <f>SUM(D299:D299)</f>
        <v>17047.27</v>
      </c>
      <c r="E300" s="244">
        <f>SUM(E299:E299)</f>
        <v>40000</v>
      </c>
      <c r="F300" s="244">
        <f>SUM(F299:F299)</f>
        <v>134.64167576391995</v>
      </c>
      <c r="G300" s="244">
        <f>SUM(G299:G299)</f>
        <v>0</v>
      </c>
      <c r="H300" s="246">
        <f t="shared" ref="H300" si="29">IFERROR(G300/E300*100,)</f>
        <v>0</v>
      </c>
      <c r="I300" s="260"/>
      <c r="J300" s="260"/>
      <c r="L300" s="28"/>
    </row>
    <row r="301" spans="1:12" ht="15.75">
      <c r="A301" s="520"/>
      <c r="B301" s="521"/>
      <c r="C301" s="521"/>
      <c r="D301" s="521"/>
      <c r="E301" s="521"/>
      <c r="F301" s="521"/>
      <c r="G301" s="521"/>
      <c r="H301" s="521"/>
    </row>
    <row r="302" spans="1:12" ht="15.75">
      <c r="A302" s="507" t="s">
        <v>335</v>
      </c>
      <c r="B302" s="508"/>
      <c r="C302" s="508"/>
      <c r="D302" s="508"/>
      <c r="E302" s="508"/>
      <c r="F302" s="508"/>
      <c r="G302" s="508"/>
      <c r="H302" s="509"/>
    </row>
    <row r="303" spans="1:12" ht="27" customHeight="1">
      <c r="A303" s="249"/>
      <c r="B303" s="250"/>
      <c r="C303" s="250"/>
      <c r="D303" s="250"/>
      <c r="E303" s="250"/>
      <c r="F303" s="250"/>
      <c r="G303" s="250"/>
      <c r="H303" s="251"/>
    </row>
    <row r="304" spans="1:12" ht="27" customHeight="1">
      <c r="A304" s="249"/>
      <c r="B304" s="250"/>
      <c r="C304" s="250"/>
      <c r="D304" s="250"/>
      <c r="E304" s="250"/>
      <c r="F304" s="250"/>
      <c r="G304" s="250"/>
      <c r="H304" s="251"/>
    </row>
    <row r="305" spans="1:12" ht="15.75">
      <c r="A305" s="490" t="s">
        <v>463</v>
      </c>
      <c r="B305" s="491"/>
      <c r="C305" s="492" t="s">
        <v>245</v>
      </c>
      <c r="D305" s="492"/>
      <c r="E305" s="492"/>
      <c r="F305" s="492"/>
      <c r="G305" s="492"/>
      <c r="H305" s="493"/>
    </row>
    <row r="306" spans="1:12" ht="15.75">
      <c r="A306" s="491" t="s">
        <v>180</v>
      </c>
      <c r="B306" s="491"/>
      <c r="C306" s="492" t="s">
        <v>109</v>
      </c>
      <c r="D306" s="492"/>
      <c r="E306" s="492"/>
      <c r="F306" s="492"/>
      <c r="G306" s="492"/>
      <c r="H306" s="493"/>
    </row>
    <row r="307" spans="1:12" ht="27" customHeight="1">
      <c r="A307" s="249"/>
      <c r="B307" s="250"/>
      <c r="C307" s="250"/>
      <c r="D307" s="250"/>
      <c r="E307" s="250"/>
      <c r="F307" s="250"/>
      <c r="G307" s="250" t="s">
        <v>464</v>
      </c>
      <c r="H307" s="251"/>
    </row>
    <row r="308" spans="1:12" ht="15.75">
      <c r="A308" s="494" t="s">
        <v>465</v>
      </c>
      <c r="B308" s="495"/>
      <c r="C308" s="495"/>
      <c r="D308" s="494" t="s">
        <v>466</v>
      </c>
      <c r="E308" s="495"/>
      <c r="F308" s="496"/>
      <c r="G308" s="502" t="s">
        <v>467</v>
      </c>
      <c r="H308" s="503"/>
    </row>
    <row r="309" spans="1:12" ht="15.75">
      <c r="A309" s="494" t="s">
        <v>468</v>
      </c>
      <c r="B309" s="495"/>
      <c r="C309" s="496"/>
      <c r="D309" s="494" t="s">
        <v>469</v>
      </c>
      <c r="E309" s="496"/>
      <c r="F309" s="497" t="s">
        <v>470</v>
      </c>
      <c r="G309" s="498" t="s">
        <v>471</v>
      </c>
      <c r="H309" s="498" t="s">
        <v>472</v>
      </c>
    </row>
    <row r="310" spans="1:12" ht="47.25">
      <c r="A310" s="234" t="s">
        <v>473</v>
      </c>
      <c r="B310" s="234" t="s">
        <v>474</v>
      </c>
      <c r="C310" s="235" t="s">
        <v>475</v>
      </c>
      <c r="D310" s="234" t="s">
        <v>476</v>
      </c>
      <c r="E310" s="234" t="s">
        <v>477</v>
      </c>
      <c r="F310" s="497"/>
      <c r="G310" s="499"/>
      <c r="H310" s="499"/>
    </row>
    <row r="311" spans="1:12" ht="78.75">
      <c r="A311" s="255">
        <v>50</v>
      </c>
      <c r="B311" s="242" t="s">
        <v>631</v>
      </c>
      <c r="C311" s="237" t="s">
        <v>498</v>
      </c>
      <c r="D311" s="238">
        <v>28781.622000000003</v>
      </c>
      <c r="E311" s="229">
        <v>20000</v>
      </c>
      <c r="F311" s="240">
        <f t="shared" ref="F311" si="30">IFERROR(E311/D311*100-100,)</f>
        <v>-30.511213023366096</v>
      </c>
      <c r="G311" s="238"/>
      <c r="H311" s="241"/>
    </row>
    <row r="312" spans="1:12" ht="15.75">
      <c r="A312" s="500" t="s">
        <v>386</v>
      </c>
      <c r="B312" s="500"/>
      <c r="C312" s="500"/>
      <c r="D312" s="244">
        <f>SUM(D311:D311)</f>
        <v>28781.622000000003</v>
      </c>
      <c r="E312" s="244">
        <f>SUM(E311:E311)</f>
        <v>20000</v>
      </c>
      <c r="F312" s="244">
        <f>SUM(F311:F311)</f>
        <v>-30.511213023366096</v>
      </c>
      <c r="G312" s="244">
        <f>SUM(G311:G311)</f>
        <v>0</v>
      </c>
      <c r="H312" s="246">
        <f t="shared" ref="H312" si="31">IFERROR(G312/E312*100,)</f>
        <v>0</v>
      </c>
      <c r="I312" s="260"/>
      <c r="J312" s="260"/>
      <c r="L312" s="28"/>
    </row>
    <row r="313" spans="1:12" ht="27" customHeight="1">
      <c r="A313" s="249"/>
      <c r="B313" s="250"/>
      <c r="C313" s="250"/>
      <c r="D313" s="250"/>
      <c r="E313" s="250"/>
      <c r="F313" s="250"/>
      <c r="G313" s="250"/>
      <c r="H313" s="251"/>
    </row>
    <row r="314" spans="1:12" ht="15.75">
      <c r="A314" s="507" t="s">
        <v>335</v>
      </c>
      <c r="B314" s="508"/>
      <c r="C314" s="508"/>
      <c r="D314" s="508"/>
      <c r="E314" s="508"/>
      <c r="F314" s="508"/>
      <c r="G314" s="508"/>
      <c r="H314" s="509"/>
    </row>
    <row r="315" spans="1:12" ht="27" customHeight="1">
      <c r="A315" s="249"/>
      <c r="B315" s="250"/>
      <c r="C315" s="250"/>
      <c r="D315" s="250"/>
      <c r="E315" s="250"/>
      <c r="F315" s="250"/>
      <c r="G315" s="250"/>
      <c r="H315" s="251"/>
    </row>
    <row r="316" spans="1:12" ht="27" customHeight="1">
      <c r="A316" s="249"/>
      <c r="B316" s="250"/>
      <c r="C316" s="250"/>
      <c r="D316" s="250"/>
      <c r="E316" s="250"/>
      <c r="F316" s="250"/>
      <c r="G316" s="250"/>
      <c r="H316" s="251"/>
    </row>
    <row r="317" spans="1:12" ht="15.75">
      <c r="A317" s="490" t="s">
        <v>463</v>
      </c>
      <c r="B317" s="491"/>
      <c r="C317" s="492" t="s">
        <v>248</v>
      </c>
      <c r="D317" s="492"/>
      <c r="E317" s="492"/>
      <c r="F317" s="492"/>
      <c r="G317" s="492"/>
      <c r="H317" s="493"/>
    </row>
    <row r="318" spans="1:12" ht="15.75">
      <c r="A318" s="491" t="s">
        <v>180</v>
      </c>
      <c r="B318" s="491"/>
      <c r="C318" s="492" t="s">
        <v>153</v>
      </c>
      <c r="D318" s="492"/>
      <c r="E318" s="492"/>
      <c r="F318" s="492"/>
      <c r="G318" s="492"/>
      <c r="H318" s="493"/>
    </row>
    <row r="319" spans="1:12" ht="27" customHeight="1">
      <c r="A319" s="249"/>
      <c r="B319" s="250"/>
      <c r="C319" s="250"/>
      <c r="D319" s="250"/>
      <c r="E319" s="250"/>
      <c r="F319" s="250"/>
      <c r="G319" s="250" t="s">
        <v>464</v>
      </c>
      <c r="H319" s="251"/>
    </row>
    <row r="320" spans="1:12" ht="15.75">
      <c r="A320" s="494" t="s">
        <v>465</v>
      </c>
      <c r="B320" s="495"/>
      <c r="C320" s="495"/>
      <c r="D320" s="494" t="s">
        <v>466</v>
      </c>
      <c r="E320" s="495"/>
      <c r="F320" s="496"/>
      <c r="G320" s="502" t="s">
        <v>467</v>
      </c>
      <c r="H320" s="503"/>
    </row>
    <row r="321" spans="1:12" ht="15.75">
      <c r="A321" s="494" t="s">
        <v>468</v>
      </c>
      <c r="B321" s="495"/>
      <c r="C321" s="496"/>
      <c r="D321" s="494" t="s">
        <v>469</v>
      </c>
      <c r="E321" s="496"/>
      <c r="F321" s="497" t="s">
        <v>470</v>
      </c>
      <c r="G321" s="498" t="s">
        <v>471</v>
      </c>
      <c r="H321" s="498" t="s">
        <v>472</v>
      </c>
    </row>
    <row r="322" spans="1:12" ht="47.25">
      <c r="A322" s="234" t="s">
        <v>473</v>
      </c>
      <c r="B322" s="234" t="s">
        <v>474</v>
      </c>
      <c r="C322" s="235" t="s">
        <v>475</v>
      </c>
      <c r="D322" s="234" t="s">
        <v>476</v>
      </c>
      <c r="E322" s="234" t="s">
        <v>477</v>
      </c>
      <c r="F322" s="497"/>
      <c r="G322" s="499"/>
      <c r="H322" s="499"/>
    </row>
    <row r="323" spans="1:12" ht="47.25">
      <c r="A323" s="266">
        <v>15</v>
      </c>
      <c r="B323" s="242" t="s">
        <v>632</v>
      </c>
      <c r="C323" s="228" t="s">
        <v>482</v>
      </c>
      <c r="D323" s="229">
        <v>21049.97</v>
      </c>
      <c r="E323" s="229">
        <v>10000</v>
      </c>
      <c r="F323" s="240">
        <f t="shared" ref="F323:F335" si="32">IFERROR(E323/D323*100-100,)</f>
        <v>-52.493994053198179</v>
      </c>
      <c r="G323" s="238"/>
      <c r="H323" s="241"/>
    </row>
    <row r="324" spans="1:12" ht="47.25">
      <c r="A324" s="266">
        <v>15</v>
      </c>
      <c r="B324" s="242" t="s">
        <v>633</v>
      </c>
      <c r="C324" s="228" t="s">
        <v>482</v>
      </c>
      <c r="D324" s="229">
        <v>21049.97</v>
      </c>
      <c r="E324" s="229">
        <v>10000</v>
      </c>
      <c r="F324" s="240">
        <f t="shared" si="32"/>
        <v>-52.493994053198179</v>
      </c>
      <c r="G324" s="238"/>
      <c r="H324" s="241"/>
    </row>
    <row r="325" spans="1:12" ht="47.25">
      <c r="A325" s="266">
        <v>25</v>
      </c>
      <c r="B325" s="242" t="s">
        <v>634</v>
      </c>
      <c r="C325" s="228" t="s">
        <v>482</v>
      </c>
      <c r="D325" s="229">
        <v>0</v>
      </c>
      <c r="E325" s="229">
        <v>0</v>
      </c>
      <c r="F325" s="240">
        <f t="shared" si="32"/>
        <v>0</v>
      </c>
      <c r="G325" s="238"/>
      <c r="H325" s="241"/>
    </row>
    <row r="326" spans="1:12" ht="47.25">
      <c r="A326" s="266">
        <v>30</v>
      </c>
      <c r="B326" s="242" t="s">
        <v>635</v>
      </c>
      <c r="C326" s="228" t="s">
        <v>482</v>
      </c>
      <c r="D326" s="229">
        <v>10183.23</v>
      </c>
      <c r="E326" s="229">
        <v>5000</v>
      </c>
      <c r="F326" s="240">
        <f t="shared" si="32"/>
        <v>-50.89966543032024</v>
      </c>
      <c r="G326" s="238"/>
      <c r="H326" s="241"/>
    </row>
    <row r="327" spans="1:12" ht="63">
      <c r="A327" s="267">
        <v>1</v>
      </c>
      <c r="B327" s="242" t="s">
        <v>636</v>
      </c>
      <c r="C327" s="228" t="s">
        <v>482</v>
      </c>
      <c r="D327" s="229"/>
      <c r="E327" s="229">
        <v>5000</v>
      </c>
      <c r="F327" s="240">
        <f t="shared" si="32"/>
        <v>0</v>
      </c>
      <c r="G327" s="238"/>
      <c r="H327" s="241"/>
    </row>
    <row r="328" spans="1:12" ht="15.75">
      <c r="A328" s="266">
        <v>1</v>
      </c>
      <c r="B328" s="243" t="s">
        <v>637</v>
      </c>
      <c r="C328" s="228" t="s">
        <v>482</v>
      </c>
      <c r="D328" s="229">
        <v>5000</v>
      </c>
      <c r="E328" s="229">
        <v>5000</v>
      </c>
      <c r="F328" s="240">
        <f t="shared" si="32"/>
        <v>0</v>
      </c>
      <c r="G328" s="238"/>
      <c r="H328" s="241"/>
    </row>
    <row r="329" spans="1:12" ht="15.75">
      <c r="A329" s="266">
        <v>1</v>
      </c>
      <c r="B329" s="243" t="s">
        <v>638</v>
      </c>
      <c r="C329" s="228" t="s">
        <v>482</v>
      </c>
      <c r="D329" s="229">
        <v>5000</v>
      </c>
      <c r="E329" s="229">
        <v>5000</v>
      </c>
      <c r="F329" s="240">
        <f t="shared" si="32"/>
        <v>0</v>
      </c>
      <c r="G329" s="238"/>
      <c r="H329" s="241"/>
    </row>
    <row r="330" spans="1:12" ht="31.5">
      <c r="A330" s="266">
        <v>1</v>
      </c>
      <c r="B330" s="243" t="s">
        <v>639</v>
      </c>
      <c r="C330" s="228" t="s">
        <v>482</v>
      </c>
      <c r="D330" s="229">
        <v>15000</v>
      </c>
      <c r="E330" s="229">
        <v>5000</v>
      </c>
      <c r="F330" s="240">
        <f t="shared" si="32"/>
        <v>-66.666666666666671</v>
      </c>
      <c r="G330" s="238"/>
      <c r="H330" s="241"/>
    </row>
    <row r="331" spans="1:12" ht="15.75">
      <c r="A331" s="266">
        <v>1</v>
      </c>
      <c r="B331" s="243" t="s">
        <v>640</v>
      </c>
      <c r="C331" s="228" t="s">
        <v>482</v>
      </c>
      <c r="D331" s="229">
        <v>7000</v>
      </c>
      <c r="E331" s="229">
        <v>5000</v>
      </c>
      <c r="F331" s="240">
        <f t="shared" si="32"/>
        <v>-28.571428571428569</v>
      </c>
      <c r="G331" s="238"/>
      <c r="H331" s="241"/>
    </row>
    <row r="332" spans="1:12" ht="31.5">
      <c r="A332" s="266">
        <v>1</v>
      </c>
      <c r="B332" s="242" t="s">
        <v>641</v>
      </c>
      <c r="C332" s="228" t="s">
        <v>482</v>
      </c>
      <c r="D332" s="229">
        <v>5000</v>
      </c>
      <c r="E332" s="229">
        <v>5000</v>
      </c>
      <c r="F332" s="240">
        <f t="shared" si="32"/>
        <v>0</v>
      </c>
      <c r="G332" s="238"/>
      <c r="H332" s="241"/>
    </row>
    <row r="333" spans="1:12" ht="31.5">
      <c r="A333" s="266">
        <v>1</v>
      </c>
      <c r="B333" s="243" t="s">
        <v>642</v>
      </c>
      <c r="C333" s="228" t="s">
        <v>643</v>
      </c>
      <c r="D333" s="229">
        <v>5000</v>
      </c>
      <c r="E333" s="229">
        <v>5000</v>
      </c>
      <c r="F333" s="240">
        <f t="shared" si="32"/>
        <v>0</v>
      </c>
      <c r="G333" s="238"/>
      <c r="H333" s="241"/>
    </row>
    <row r="334" spans="1:12" ht="15.75">
      <c r="A334" s="266">
        <v>1</v>
      </c>
      <c r="B334" s="243" t="s">
        <v>644</v>
      </c>
      <c r="C334" s="228" t="s">
        <v>482</v>
      </c>
      <c r="D334" s="229"/>
      <c r="E334" s="229">
        <v>10000</v>
      </c>
      <c r="F334" s="240">
        <f t="shared" si="32"/>
        <v>0</v>
      </c>
      <c r="G334" s="238"/>
      <c r="H334" s="241"/>
    </row>
    <row r="335" spans="1:12" ht="31.5">
      <c r="A335" s="266">
        <v>1</v>
      </c>
      <c r="B335" s="243" t="s">
        <v>645</v>
      </c>
      <c r="C335" s="228" t="s">
        <v>482</v>
      </c>
      <c r="D335" s="229">
        <v>25000</v>
      </c>
      <c r="E335" s="229">
        <v>10000</v>
      </c>
      <c r="F335" s="240">
        <f t="shared" si="32"/>
        <v>-60</v>
      </c>
      <c r="G335" s="238"/>
      <c r="H335" s="241"/>
    </row>
    <row r="336" spans="1:12" ht="15.75">
      <c r="A336" s="500" t="s">
        <v>386</v>
      </c>
      <c r="B336" s="500"/>
      <c r="C336" s="500"/>
      <c r="D336" s="244">
        <f>SUM(D323:D335)</f>
        <v>119283.17</v>
      </c>
      <c r="E336" s="244">
        <f>SUM(E323:E335)</f>
        <v>80000</v>
      </c>
      <c r="F336" s="245">
        <f>SUM(F323:F335)</f>
        <v>-311.12574877481183</v>
      </c>
      <c r="G336" s="244">
        <f>SUM(G323:G335)</f>
        <v>0</v>
      </c>
      <c r="H336" s="246">
        <f t="shared" ref="H336" si="33">IFERROR(G336/E336*100,)</f>
        <v>0</v>
      </c>
      <c r="I336" s="260"/>
      <c r="J336" s="260"/>
      <c r="L336" s="28"/>
    </row>
    <row r="337" spans="1:10" ht="27" customHeight="1">
      <c r="A337" s="249"/>
      <c r="B337" s="250"/>
      <c r="C337" s="250"/>
      <c r="D337" s="250"/>
      <c r="E337" s="250"/>
      <c r="F337" s="250"/>
      <c r="G337" s="250"/>
      <c r="H337" s="251"/>
    </row>
    <row r="338" spans="1:10" ht="15.75">
      <c r="A338" s="507" t="s">
        <v>335</v>
      </c>
      <c r="B338" s="508"/>
      <c r="C338" s="508"/>
      <c r="D338" s="508"/>
      <c r="E338" s="508"/>
      <c r="F338" s="508"/>
      <c r="G338" s="508"/>
      <c r="H338" s="509"/>
    </row>
    <row r="339" spans="1:10" ht="27" customHeight="1">
      <c r="A339" s="249"/>
      <c r="B339" s="250"/>
      <c r="C339" s="250"/>
      <c r="D339" s="250"/>
      <c r="E339" s="250"/>
      <c r="F339" s="250"/>
      <c r="G339" s="250"/>
      <c r="H339" s="251"/>
    </row>
    <row r="340" spans="1:10" ht="27" customHeight="1">
      <c r="A340" s="249"/>
      <c r="B340" s="250"/>
      <c r="C340" s="250"/>
      <c r="D340" s="250"/>
      <c r="E340" s="250"/>
      <c r="F340" s="250"/>
      <c r="G340" s="250"/>
      <c r="H340" s="251"/>
    </row>
    <row r="341" spans="1:10" ht="15.75">
      <c r="A341" s="490" t="s">
        <v>463</v>
      </c>
      <c r="B341" s="491"/>
      <c r="C341" s="492" t="s">
        <v>252</v>
      </c>
      <c r="D341" s="492"/>
      <c r="E341" s="492"/>
      <c r="F341" s="492"/>
      <c r="G341" s="492"/>
      <c r="H341" s="493"/>
    </row>
    <row r="342" spans="1:10" ht="15.75">
      <c r="A342" s="491" t="s">
        <v>180</v>
      </c>
      <c r="B342" s="491"/>
      <c r="C342" s="492" t="s">
        <v>253</v>
      </c>
      <c r="D342" s="492"/>
      <c r="E342" s="492"/>
      <c r="F342" s="492"/>
      <c r="G342" s="492"/>
      <c r="H342" s="493"/>
    </row>
    <row r="343" spans="1:10" ht="27" customHeight="1">
      <c r="A343" s="249"/>
      <c r="B343" s="250"/>
      <c r="C343" s="250"/>
      <c r="D343" s="250"/>
      <c r="E343" s="250"/>
      <c r="F343" s="250"/>
      <c r="G343" s="250" t="s">
        <v>464</v>
      </c>
      <c r="H343" s="251"/>
    </row>
    <row r="344" spans="1:10" ht="15.75">
      <c r="A344" s="494" t="s">
        <v>465</v>
      </c>
      <c r="B344" s="495"/>
      <c r="C344" s="495"/>
      <c r="D344" s="494" t="s">
        <v>466</v>
      </c>
      <c r="E344" s="495"/>
      <c r="F344" s="496"/>
      <c r="G344" s="502" t="s">
        <v>467</v>
      </c>
      <c r="H344" s="503"/>
    </row>
    <row r="345" spans="1:10" ht="15.75">
      <c r="A345" s="494" t="s">
        <v>468</v>
      </c>
      <c r="B345" s="495"/>
      <c r="C345" s="496"/>
      <c r="D345" s="494" t="s">
        <v>469</v>
      </c>
      <c r="E345" s="496"/>
      <c r="F345" s="497" t="s">
        <v>470</v>
      </c>
      <c r="G345" s="498" t="s">
        <v>471</v>
      </c>
      <c r="H345" s="498" t="s">
        <v>472</v>
      </c>
    </row>
    <row r="346" spans="1:10" ht="47.25">
      <c r="A346" s="234" t="s">
        <v>473</v>
      </c>
      <c r="B346" s="234" t="s">
        <v>474</v>
      </c>
      <c r="C346" s="235" t="s">
        <v>475</v>
      </c>
      <c r="D346" s="234" t="s">
        <v>476</v>
      </c>
      <c r="E346" s="234" t="s">
        <v>477</v>
      </c>
      <c r="F346" s="497"/>
      <c r="G346" s="499"/>
      <c r="H346" s="499"/>
    </row>
    <row r="347" spans="1:10" ht="47.25">
      <c r="A347" s="252">
        <v>1</v>
      </c>
      <c r="B347" s="242" t="s">
        <v>646</v>
      </c>
      <c r="C347" s="237" t="s">
        <v>482</v>
      </c>
      <c r="D347" s="238"/>
      <c r="E347" s="229">
        <v>73357.917643001245</v>
      </c>
      <c r="F347" s="240">
        <f t="shared" ref="F347:F348" si="34">IFERROR(E347/D347*100-100,)</f>
        <v>0</v>
      </c>
      <c r="G347" s="238"/>
      <c r="H347" s="241"/>
    </row>
    <row r="348" spans="1:10" ht="94.5">
      <c r="A348" s="256">
        <v>1</v>
      </c>
      <c r="B348" s="230" t="s">
        <v>647</v>
      </c>
      <c r="C348" s="8" t="s">
        <v>482</v>
      </c>
      <c r="D348" s="9">
        <v>0</v>
      </c>
      <c r="E348" s="263">
        <v>5000</v>
      </c>
      <c r="F348" s="240">
        <f t="shared" si="34"/>
        <v>0</v>
      </c>
      <c r="G348" s="238"/>
      <c r="H348" s="241"/>
    </row>
    <row r="349" spans="1:10" ht="15.75">
      <c r="A349" s="500" t="s">
        <v>386</v>
      </c>
      <c r="B349" s="500"/>
      <c r="C349" s="500"/>
      <c r="D349" s="244">
        <f>SUM(D347:D348)</f>
        <v>0</v>
      </c>
      <c r="E349" s="244">
        <f>SUM(E347:E348)</f>
        <v>78357.917643001245</v>
      </c>
      <c r="F349" s="244">
        <f>SUM(F347:F348)</f>
        <v>0</v>
      </c>
      <c r="G349" s="244">
        <f>SUM(G347:G348)</f>
        <v>0</v>
      </c>
      <c r="H349" s="246">
        <f t="shared" ref="H349" si="35">IFERROR(G349/E349*100,)</f>
        <v>0</v>
      </c>
      <c r="I349" s="260"/>
      <c r="J349" s="260"/>
    </row>
    <row r="350" spans="1:10" ht="27" customHeight="1">
      <c r="A350" s="249"/>
      <c r="B350" s="250"/>
      <c r="C350" s="250"/>
      <c r="D350" s="250"/>
      <c r="E350" s="250"/>
      <c r="F350" s="250"/>
      <c r="G350" s="250"/>
      <c r="H350" s="251"/>
    </row>
    <row r="351" spans="1:10" ht="15.75">
      <c r="A351" s="507" t="s">
        <v>335</v>
      </c>
      <c r="B351" s="508"/>
      <c r="C351" s="508"/>
      <c r="D351" s="508"/>
      <c r="E351" s="508"/>
      <c r="F351" s="508"/>
      <c r="G351" s="508"/>
      <c r="H351" s="509"/>
    </row>
    <row r="352" spans="1:10" ht="27" customHeight="1">
      <c r="A352" s="249"/>
      <c r="B352" s="250"/>
      <c r="C352" s="250"/>
      <c r="D352" s="250"/>
      <c r="E352" s="250"/>
      <c r="F352" s="250"/>
      <c r="G352" s="250"/>
      <c r="H352" s="251"/>
    </row>
    <row r="353" spans="1:8" ht="27" customHeight="1">
      <c r="A353" s="249"/>
      <c r="B353" s="250"/>
      <c r="C353" s="250"/>
      <c r="D353" s="250"/>
      <c r="E353" s="250"/>
      <c r="F353" s="250"/>
      <c r="G353" s="250"/>
      <c r="H353" s="251"/>
    </row>
    <row r="354" spans="1:8" ht="15.75">
      <c r="A354" s="490" t="s">
        <v>463</v>
      </c>
      <c r="B354" s="491"/>
      <c r="C354" s="492" t="s">
        <v>648</v>
      </c>
      <c r="D354" s="492"/>
      <c r="E354" s="492"/>
      <c r="F354" s="492"/>
      <c r="G354" s="492"/>
      <c r="H354" s="493"/>
    </row>
    <row r="355" spans="1:8" ht="15.75">
      <c r="A355" s="491" t="s">
        <v>180</v>
      </c>
      <c r="B355" s="491"/>
      <c r="C355" s="492" t="s">
        <v>98</v>
      </c>
      <c r="D355" s="492"/>
      <c r="E355" s="492"/>
      <c r="F355" s="492"/>
      <c r="G355" s="492"/>
      <c r="H355" s="493"/>
    </row>
    <row r="356" spans="1:8" ht="27" customHeight="1">
      <c r="A356" s="249"/>
      <c r="B356" s="250"/>
      <c r="C356" s="250"/>
      <c r="D356" s="250"/>
      <c r="E356" s="250"/>
      <c r="F356" s="250"/>
      <c r="G356" s="250" t="s">
        <v>464</v>
      </c>
      <c r="H356" s="251"/>
    </row>
    <row r="357" spans="1:8" ht="15.75">
      <c r="A357" s="494" t="s">
        <v>465</v>
      </c>
      <c r="B357" s="495"/>
      <c r="C357" s="495"/>
      <c r="D357" s="494" t="s">
        <v>466</v>
      </c>
      <c r="E357" s="495"/>
      <c r="F357" s="496"/>
      <c r="G357" s="502" t="s">
        <v>467</v>
      </c>
      <c r="H357" s="503"/>
    </row>
    <row r="358" spans="1:8" ht="15.75">
      <c r="A358" s="494" t="s">
        <v>468</v>
      </c>
      <c r="B358" s="495"/>
      <c r="C358" s="496"/>
      <c r="D358" s="494" t="s">
        <v>469</v>
      </c>
      <c r="E358" s="496"/>
      <c r="F358" s="497" t="s">
        <v>470</v>
      </c>
      <c r="G358" s="498" t="s">
        <v>471</v>
      </c>
      <c r="H358" s="498" t="s">
        <v>472</v>
      </c>
    </row>
    <row r="359" spans="1:8" ht="47.25">
      <c r="A359" s="234" t="s">
        <v>473</v>
      </c>
      <c r="B359" s="234" t="s">
        <v>474</v>
      </c>
      <c r="C359" s="235" t="s">
        <v>475</v>
      </c>
      <c r="D359" s="234" t="s">
        <v>476</v>
      </c>
      <c r="E359" s="234" t="s">
        <v>477</v>
      </c>
      <c r="F359" s="497"/>
      <c r="G359" s="499"/>
      <c r="H359" s="499"/>
    </row>
    <row r="360" spans="1:8" ht="110.25">
      <c r="A360" s="268">
        <v>1</v>
      </c>
      <c r="B360" s="228" t="s">
        <v>649</v>
      </c>
      <c r="C360" s="228" t="s">
        <v>482</v>
      </c>
      <c r="D360" s="229">
        <v>305367.71038250002</v>
      </c>
      <c r="E360" s="229">
        <v>138075.755103</v>
      </c>
      <c r="F360" s="240">
        <f>IFERROR(E360/D360*100-100,)</f>
        <v>-54.78377365765099</v>
      </c>
      <c r="G360" s="238"/>
      <c r="H360" s="133">
        <f t="shared" ref="H360:H373" si="36">IFERROR(G360/E360*100,)</f>
        <v>0</v>
      </c>
    </row>
    <row r="361" spans="1:8" ht="94.5">
      <c r="A361" s="268">
        <v>1</v>
      </c>
      <c r="B361" s="269" t="s">
        <v>650</v>
      </c>
      <c r="C361" s="242" t="s">
        <v>482</v>
      </c>
      <c r="D361" s="263">
        <v>0</v>
      </c>
      <c r="E361" s="263">
        <v>5000</v>
      </c>
      <c r="F361" s="240">
        <f t="shared" ref="F361:F372" si="37">IFERROR(E361/D361*100-100,)</f>
        <v>0</v>
      </c>
      <c r="G361" s="9"/>
      <c r="H361" s="133">
        <f t="shared" si="36"/>
        <v>0</v>
      </c>
    </row>
    <row r="362" spans="1:8" ht="94.5">
      <c r="A362" s="268">
        <v>1</v>
      </c>
      <c r="B362" s="242" t="s">
        <v>651</v>
      </c>
      <c r="C362" s="242" t="s">
        <v>482</v>
      </c>
      <c r="D362" s="263">
        <v>500</v>
      </c>
      <c r="E362" s="263">
        <v>5000</v>
      </c>
      <c r="F362" s="240">
        <f t="shared" si="37"/>
        <v>900</v>
      </c>
      <c r="G362" s="9"/>
      <c r="H362" s="133">
        <f t="shared" si="36"/>
        <v>0</v>
      </c>
    </row>
    <row r="363" spans="1:8" ht="31.5">
      <c r="A363" s="264">
        <v>1</v>
      </c>
      <c r="B363" s="243" t="s">
        <v>652</v>
      </c>
      <c r="C363" s="242" t="s">
        <v>556</v>
      </c>
      <c r="D363" s="229">
        <v>0</v>
      </c>
      <c r="E363" s="263">
        <v>233333.33333333334</v>
      </c>
      <c r="F363" s="240">
        <f t="shared" si="37"/>
        <v>0</v>
      </c>
      <c r="G363" s="9"/>
      <c r="H363" s="133">
        <f t="shared" si="36"/>
        <v>0</v>
      </c>
    </row>
    <row r="364" spans="1:8" ht="31.5">
      <c r="A364" s="264">
        <v>1</v>
      </c>
      <c r="B364" s="242" t="s">
        <v>653</v>
      </c>
      <c r="C364" s="242" t="s">
        <v>556</v>
      </c>
      <c r="D364" s="263">
        <v>48000</v>
      </c>
      <c r="E364" s="263">
        <v>48000</v>
      </c>
      <c r="F364" s="240">
        <f t="shared" si="37"/>
        <v>0</v>
      </c>
      <c r="G364" s="9"/>
      <c r="H364" s="133">
        <f t="shared" si="36"/>
        <v>0</v>
      </c>
    </row>
    <row r="365" spans="1:8" ht="126">
      <c r="A365" s="264">
        <v>1</v>
      </c>
      <c r="B365" s="242" t="s">
        <v>654</v>
      </c>
      <c r="C365" s="242" t="s">
        <v>556</v>
      </c>
      <c r="D365" s="263"/>
      <c r="E365" s="263">
        <v>0</v>
      </c>
      <c r="F365" s="240">
        <f t="shared" si="37"/>
        <v>0</v>
      </c>
      <c r="G365" s="9"/>
      <c r="H365" s="241"/>
    </row>
    <row r="366" spans="1:8" ht="126">
      <c r="A366" s="268">
        <v>1</v>
      </c>
      <c r="B366" s="242" t="s">
        <v>655</v>
      </c>
      <c r="C366" s="242" t="s">
        <v>556</v>
      </c>
      <c r="D366" s="263"/>
      <c r="E366" s="263">
        <v>0</v>
      </c>
      <c r="F366" s="240">
        <f t="shared" si="37"/>
        <v>0</v>
      </c>
      <c r="G366" s="9"/>
      <c r="H366" s="241"/>
    </row>
    <row r="367" spans="1:8" ht="236.25">
      <c r="A367" s="264">
        <v>1</v>
      </c>
      <c r="B367" s="242" t="s">
        <v>656</v>
      </c>
      <c r="C367" s="242" t="s">
        <v>507</v>
      </c>
      <c r="D367" s="263"/>
      <c r="E367" s="263"/>
      <c r="F367" s="240">
        <f t="shared" si="37"/>
        <v>0</v>
      </c>
      <c r="G367" s="9"/>
      <c r="H367" s="241"/>
    </row>
    <row r="368" spans="1:8" ht="110.25">
      <c r="A368" s="264">
        <v>1</v>
      </c>
      <c r="B368" s="242" t="s">
        <v>657</v>
      </c>
      <c r="C368" s="242" t="s">
        <v>556</v>
      </c>
      <c r="D368" s="263">
        <v>52000</v>
      </c>
      <c r="E368" s="263"/>
      <c r="F368" s="240">
        <f t="shared" si="37"/>
        <v>-100</v>
      </c>
      <c r="G368" s="9"/>
      <c r="H368" s="133">
        <f t="shared" si="36"/>
        <v>0</v>
      </c>
    </row>
    <row r="369" spans="1:12" ht="78.75">
      <c r="A369" s="268">
        <v>1</v>
      </c>
      <c r="B369" s="242" t="s">
        <v>658</v>
      </c>
      <c r="C369" s="242" t="s">
        <v>556</v>
      </c>
      <c r="D369" s="263"/>
      <c r="E369" s="263"/>
      <c r="F369" s="240">
        <f t="shared" si="37"/>
        <v>0</v>
      </c>
      <c r="G369" s="9"/>
      <c r="H369" s="241"/>
    </row>
    <row r="370" spans="1:12" ht="94.5">
      <c r="A370" s="270">
        <v>2E-3</v>
      </c>
      <c r="B370" s="242" t="s">
        <v>659</v>
      </c>
      <c r="C370" s="242" t="s">
        <v>556</v>
      </c>
      <c r="D370" s="263"/>
      <c r="E370" s="263"/>
      <c r="F370" s="240">
        <f t="shared" si="37"/>
        <v>0</v>
      </c>
      <c r="G370" s="9"/>
      <c r="H370" s="241"/>
    </row>
    <row r="371" spans="1:12" ht="110.25">
      <c r="A371" s="264">
        <v>1</v>
      </c>
      <c r="B371" s="242" t="s">
        <v>660</v>
      </c>
      <c r="C371" s="242" t="s">
        <v>556</v>
      </c>
      <c r="D371" s="263">
        <v>0</v>
      </c>
      <c r="E371" s="263">
        <v>0</v>
      </c>
      <c r="F371" s="240">
        <f t="shared" si="37"/>
        <v>0</v>
      </c>
      <c r="G371" s="9"/>
      <c r="H371" s="133">
        <f t="shared" si="36"/>
        <v>0</v>
      </c>
    </row>
    <row r="372" spans="1:12" ht="78.75">
      <c r="A372" s="268">
        <v>0.7</v>
      </c>
      <c r="B372" s="242" t="s">
        <v>661</v>
      </c>
      <c r="C372" s="242" t="s">
        <v>556</v>
      </c>
      <c r="D372" s="263"/>
      <c r="E372" s="263"/>
      <c r="F372" s="240">
        <f t="shared" si="37"/>
        <v>0</v>
      </c>
      <c r="G372" s="9"/>
      <c r="H372" s="133">
        <f>IFERROR(G372/E372*100,)</f>
        <v>0</v>
      </c>
    </row>
    <row r="373" spans="1:12" ht="15.75">
      <c r="A373" s="500" t="s">
        <v>386</v>
      </c>
      <c r="B373" s="500"/>
      <c r="C373" s="500"/>
      <c r="D373" s="244">
        <f>SUM(D360:D372)</f>
        <v>405867.71038250002</v>
      </c>
      <c r="E373" s="244">
        <f>SUM(E360:E372)</f>
        <v>429409.08843633335</v>
      </c>
      <c r="F373" s="245">
        <f>SUM(F360:F372)</f>
        <v>745.21622634234905</v>
      </c>
      <c r="G373" s="244">
        <f>SUM(G360:G372)</f>
        <v>0</v>
      </c>
      <c r="H373" s="246">
        <f t="shared" si="36"/>
        <v>0</v>
      </c>
      <c r="I373" s="260"/>
      <c r="J373" s="260"/>
      <c r="L373" s="28"/>
    </row>
    <row r="374" spans="1:12" ht="27" customHeight="1">
      <c r="A374" s="249"/>
      <c r="B374" s="250"/>
      <c r="C374" s="250"/>
      <c r="D374" s="250"/>
      <c r="E374" s="250"/>
      <c r="F374" s="250"/>
      <c r="G374" s="250"/>
      <c r="H374" s="251"/>
    </row>
    <row r="375" spans="1:12" ht="15.75">
      <c r="A375" s="507" t="s">
        <v>335</v>
      </c>
      <c r="B375" s="508"/>
      <c r="C375" s="508"/>
      <c r="D375" s="508"/>
      <c r="E375" s="508"/>
      <c r="F375" s="508"/>
      <c r="G375" s="508"/>
      <c r="H375" s="509"/>
    </row>
    <row r="376" spans="1:12" ht="27" customHeight="1">
      <c r="A376" s="249"/>
      <c r="B376" s="250"/>
      <c r="C376" s="250"/>
      <c r="D376" s="250"/>
      <c r="E376" s="250"/>
      <c r="F376" s="250"/>
      <c r="G376" s="250"/>
      <c r="H376" s="251"/>
    </row>
    <row r="377" spans="1:12" ht="27" customHeight="1">
      <c r="A377" s="249"/>
      <c r="B377" s="250"/>
      <c r="C377" s="250"/>
      <c r="D377" s="250"/>
      <c r="E377" s="250"/>
      <c r="F377" s="250"/>
      <c r="G377" s="250"/>
      <c r="H377" s="251"/>
    </row>
    <row r="378" spans="1:12" ht="15.75">
      <c r="A378" s="490" t="s">
        <v>463</v>
      </c>
      <c r="B378" s="491"/>
      <c r="C378" s="492" t="s">
        <v>261</v>
      </c>
      <c r="D378" s="492"/>
      <c r="E378" s="492"/>
      <c r="F378" s="492"/>
      <c r="G378" s="492"/>
      <c r="H378" s="493"/>
    </row>
    <row r="379" spans="1:12" ht="15.75">
      <c r="A379" s="491" t="s">
        <v>180</v>
      </c>
      <c r="B379" s="491"/>
      <c r="C379" s="492" t="s">
        <v>75</v>
      </c>
      <c r="D379" s="492"/>
      <c r="E379" s="492"/>
      <c r="F379" s="492"/>
      <c r="G379" s="492"/>
      <c r="H379" s="493"/>
    </row>
    <row r="380" spans="1:12" ht="27" customHeight="1">
      <c r="A380" s="249"/>
      <c r="B380" s="250"/>
      <c r="C380" s="250"/>
      <c r="D380" s="250"/>
      <c r="E380" s="250"/>
      <c r="F380" s="250"/>
      <c r="G380" s="250" t="s">
        <v>464</v>
      </c>
      <c r="H380" s="251"/>
    </row>
    <row r="381" spans="1:12" ht="15.75">
      <c r="A381" s="494" t="s">
        <v>465</v>
      </c>
      <c r="B381" s="495"/>
      <c r="C381" s="495"/>
      <c r="D381" s="494" t="s">
        <v>466</v>
      </c>
      <c r="E381" s="495"/>
      <c r="F381" s="496"/>
      <c r="G381" s="502" t="s">
        <v>467</v>
      </c>
      <c r="H381" s="503"/>
    </row>
    <row r="382" spans="1:12" ht="15.75">
      <c r="A382" s="494" t="s">
        <v>468</v>
      </c>
      <c r="B382" s="495"/>
      <c r="C382" s="496"/>
      <c r="D382" s="494" t="s">
        <v>469</v>
      </c>
      <c r="E382" s="496"/>
      <c r="F382" s="497" t="s">
        <v>470</v>
      </c>
      <c r="G382" s="498" t="s">
        <v>471</v>
      </c>
      <c r="H382" s="498" t="s">
        <v>472</v>
      </c>
    </row>
    <row r="383" spans="1:12" ht="47.25">
      <c r="A383" s="234" t="s">
        <v>473</v>
      </c>
      <c r="B383" s="234" t="s">
        <v>474</v>
      </c>
      <c r="C383" s="235" t="s">
        <v>475</v>
      </c>
      <c r="D383" s="234" t="s">
        <v>476</v>
      </c>
      <c r="E383" s="234" t="s">
        <v>477</v>
      </c>
      <c r="F383" s="497"/>
      <c r="G383" s="499"/>
      <c r="H383" s="499"/>
    </row>
    <row r="384" spans="1:12" ht="47.25">
      <c r="A384" s="252">
        <v>1</v>
      </c>
      <c r="B384" s="242" t="s">
        <v>662</v>
      </c>
      <c r="C384" s="237" t="s">
        <v>482</v>
      </c>
      <c r="D384" s="238">
        <v>0</v>
      </c>
      <c r="E384" s="229">
        <v>143108.346303</v>
      </c>
      <c r="F384" s="240">
        <f t="shared" ref="F384:F391" si="38">IFERROR(E384/D384*100-100,)</f>
        <v>0</v>
      </c>
      <c r="G384" s="238"/>
      <c r="H384" s="241"/>
    </row>
    <row r="385" spans="1:12" ht="47.25">
      <c r="A385" s="252">
        <v>1</v>
      </c>
      <c r="B385" s="242" t="s">
        <v>663</v>
      </c>
      <c r="C385" s="237" t="s">
        <v>482</v>
      </c>
      <c r="D385" s="238">
        <v>2906.48</v>
      </c>
      <c r="E385" s="229">
        <v>6000</v>
      </c>
      <c r="F385" s="240">
        <f t="shared" si="38"/>
        <v>106.43527565990479</v>
      </c>
      <c r="G385" s="238"/>
      <c r="H385" s="241"/>
    </row>
    <row r="386" spans="1:12" ht="47.25">
      <c r="A386" s="252">
        <v>1</v>
      </c>
      <c r="B386" s="242" t="s">
        <v>664</v>
      </c>
      <c r="C386" s="237" t="s">
        <v>482</v>
      </c>
      <c r="D386" s="238">
        <v>5000.08</v>
      </c>
      <c r="E386" s="229">
        <v>6000</v>
      </c>
      <c r="F386" s="240">
        <f t="shared" si="38"/>
        <v>19.998080030719507</v>
      </c>
      <c r="G386" s="238"/>
      <c r="H386" s="241"/>
    </row>
    <row r="387" spans="1:12" ht="78.75">
      <c r="A387" s="257">
        <v>1</v>
      </c>
      <c r="B387" s="242" t="s">
        <v>665</v>
      </c>
      <c r="C387" s="237" t="s">
        <v>482</v>
      </c>
      <c r="D387" s="238">
        <v>25000</v>
      </c>
      <c r="E387" s="229">
        <v>0</v>
      </c>
      <c r="F387" s="240">
        <f t="shared" si="38"/>
        <v>-100</v>
      </c>
      <c r="G387" s="238"/>
      <c r="H387" s="241"/>
    </row>
    <row r="388" spans="1:12" ht="47.25">
      <c r="A388" s="257">
        <v>1</v>
      </c>
      <c r="B388" s="242" t="s">
        <v>666</v>
      </c>
      <c r="C388" s="237" t="s">
        <v>482</v>
      </c>
      <c r="D388" s="238">
        <v>11415</v>
      </c>
      <c r="E388" s="229">
        <v>15000</v>
      </c>
      <c r="F388" s="240">
        <f t="shared" si="38"/>
        <v>31.406044678055196</v>
      </c>
      <c r="G388" s="238"/>
      <c r="H388" s="241"/>
    </row>
    <row r="389" spans="1:12" ht="47.25">
      <c r="A389" s="257">
        <v>1</v>
      </c>
      <c r="B389" s="242" t="s">
        <v>667</v>
      </c>
      <c r="C389" s="237" t="s">
        <v>482</v>
      </c>
      <c r="D389" s="238">
        <v>0</v>
      </c>
      <c r="E389" s="229">
        <v>5000</v>
      </c>
      <c r="F389" s="240">
        <f t="shared" si="38"/>
        <v>0</v>
      </c>
      <c r="G389" s="238"/>
      <c r="H389" s="241"/>
    </row>
    <row r="390" spans="1:12" ht="63">
      <c r="A390" s="257">
        <v>1</v>
      </c>
      <c r="B390" s="242" t="s">
        <v>668</v>
      </c>
      <c r="C390" s="237" t="s">
        <v>482</v>
      </c>
      <c r="D390" s="238">
        <v>15000</v>
      </c>
      <c r="E390" s="229"/>
      <c r="F390" s="240">
        <f t="shared" si="38"/>
        <v>-100</v>
      </c>
      <c r="G390" s="238"/>
      <c r="H390" s="241"/>
    </row>
    <row r="391" spans="1:12" ht="78.75">
      <c r="A391" s="257">
        <v>1</v>
      </c>
      <c r="B391" s="243" t="s">
        <v>669</v>
      </c>
      <c r="C391" s="237" t="s">
        <v>482</v>
      </c>
      <c r="D391" s="238">
        <v>1600</v>
      </c>
      <c r="E391" s="229">
        <v>3000</v>
      </c>
      <c r="F391" s="240">
        <f t="shared" si="38"/>
        <v>87.5</v>
      </c>
      <c r="G391" s="238"/>
      <c r="H391" s="241"/>
    </row>
    <row r="392" spans="1:12" ht="15.75">
      <c r="A392" s="500" t="s">
        <v>386</v>
      </c>
      <c r="B392" s="500"/>
      <c r="C392" s="500"/>
      <c r="D392" s="244">
        <f>SUM(D384:D391)</f>
        <v>60921.56</v>
      </c>
      <c r="E392" s="244">
        <f>SUM(E384:E391)</f>
        <v>178108.346303</v>
      </c>
      <c r="F392" s="245">
        <f>SUM(F384:F391)</f>
        <v>45.339400368679492</v>
      </c>
      <c r="G392" s="244">
        <f>SUM(G384:G391)</f>
        <v>0</v>
      </c>
      <c r="H392" s="246">
        <f t="shared" ref="H392" si="39">IFERROR(G392/E392*100,)</f>
        <v>0</v>
      </c>
      <c r="I392" s="260"/>
      <c r="J392" s="260"/>
      <c r="L392" s="28"/>
    </row>
    <row r="393" spans="1:12" ht="27" customHeight="1">
      <c r="A393" s="249"/>
      <c r="B393" s="250"/>
      <c r="C393" s="250"/>
      <c r="D393" s="250"/>
      <c r="E393" s="250"/>
      <c r="F393" s="250"/>
      <c r="G393" s="250"/>
      <c r="H393" s="251"/>
    </row>
    <row r="394" spans="1:12" ht="15.75">
      <c r="A394" s="507" t="s">
        <v>335</v>
      </c>
      <c r="B394" s="508"/>
      <c r="C394" s="508"/>
      <c r="D394" s="508"/>
      <c r="E394" s="508"/>
      <c r="F394" s="508"/>
      <c r="G394" s="508"/>
      <c r="H394" s="509"/>
    </row>
    <row r="395" spans="1:12" ht="27" customHeight="1">
      <c r="A395" s="249"/>
      <c r="B395" s="250"/>
      <c r="C395" s="250"/>
      <c r="D395" s="250"/>
      <c r="E395" s="250"/>
      <c r="F395" s="250"/>
      <c r="G395" s="250"/>
      <c r="H395" s="251"/>
    </row>
    <row r="396" spans="1:12" ht="27" customHeight="1">
      <c r="A396" s="249"/>
      <c r="B396" s="250"/>
      <c r="C396" s="250"/>
      <c r="D396" s="250"/>
      <c r="E396" s="250"/>
      <c r="F396" s="250"/>
      <c r="G396" s="250"/>
      <c r="H396" s="251"/>
    </row>
    <row r="397" spans="1:12" ht="15.75">
      <c r="A397" s="490" t="s">
        <v>463</v>
      </c>
      <c r="B397" s="491"/>
      <c r="C397" s="492" t="s">
        <v>670</v>
      </c>
      <c r="D397" s="492"/>
      <c r="E397" s="492"/>
      <c r="F397" s="492"/>
      <c r="G397" s="492"/>
      <c r="H397" s="493"/>
    </row>
    <row r="398" spans="1:12" ht="15.75">
      <c r="A398" s="491" t="s">
        <v>180</v>
      </c>
      <c r="B398" s="491"/>
      <c r="C398" s="492" t="s">
        <v>157</v>
      </c>
      <c r="D398" s="492"/>
      <c r="E398" s="492"/>
      <c r="F398" s="492"/>
      <c r="G398" s="492"/>
      <c r="H398" s="493"/>
    </row>
    <row r="399" spans="1:12" ht="27" customHeight="1">
      <c r="A399" s="249"/>
      <c r="B399" s="250"/>
      <c r="C399" s="250"/>
      <c r="D399" s="250"/>
      <c r="E399" s="250"/>
      <c r="F399" s="250"/>
      <c r="G399" s="250" t="s">
        <v>464</v>
      </c>
      <c r="H399" s="251"/>
    </row>
    <row r="400" spans="1:12" ht="15.75">
      <c r="A400" s="494" t="s">
        <v>465</v>
      </c>
      <c r="B400" s="495"/>
      <c r="C400" s="495"/>
      <c r="D400" s="494" t="s">
        <v>466</v>
      </c>
      <c r="E400" s="495"/>
      <c r="F400" s="496"/>
      <c r="G400" s="502" t="s">
        <v>467</v>
      </c>
      <c r="H400" s="503"/>
    </row>
    <row r="401" spans="1:12" ht="15.75">
      <c r="A401" s="494" t="s">
        <v>468</v>
      </c>
      <c r="B401" s="495"/>
      <c r="C401" s="496"/>
      <c r="D401" s="494" t="s">
        <v>469</v>
      </c>
      <c r="E401" s="496"/>
      <c r="F401" s="497" t="s">
        <v>470</v>
      </c>
      <c r="G401" s="498" t="s">
        <v>471</v>
      </c>
      <c r="H401" s="498" t="s">
        <v>472</v>
      </c>
    </row>
    <row r="402" spans="1:12" ht="47.25">
      <c r="A402" s="234" t="s">
        <v>473</v>
      </c>
      <c r="B402" s="234" t="s">
        <v>474</v>
      </c>
      <c r="C402" s="235" t="s">
        <v>475</v>
      </c>
      <c r="D402" s="234" t="s">
        <v>476</v>
      </c>
      <c r="E402" s="234" t="s">
        <v>477</v>
      </c>
      <c r="F402" s="497"/>
      <c r="G402" s="499"/>
      <c r="H402" s="499"/>
    </row>
    <row r="403" spans="1:12" ht="94.5">
      <c r="A403" s="271">
        <v>1</v>
      </c>
      <c r="B403" s="242" t="s">
        <v>671</v>
      </c>
      <c r="C403" s="228" t="s">
        <v>482</v>
      </c>
      <c r="D403" s="229">
        <v>289245.23526750004</v>
      </c>
      <c r="E403" s="229">
        <v>419487.50564802642</v>
      </c>
      <c r="F403" s="240">
        <f t="shared" ref="F403:F408" si="40">IFERROR(E403/D403*100-100,)</f>
        <v>45.028320089724417</v>
      </c>
      <c r="G403" s="238"/>
      <c r="H403" s="241"/>
    </row>
    <row r="404" spans="1:12" ht="78.75">
      <c r="A404" s="271">
        <v>1</v>
      </c>
      <c r="B404" s="242" t="s">
        <v>672</v>
      </c>
      <c r="C404" s="228" t="s">
        <v>482</v>
      </c>
      <c r="D404" s="229">
        <v>4025.01</v>
      </c>
      <c r="E404" s="229">
        <v>5000</v>
      </c>
      <c r="F404" s="240">
        <f t="shared" si="40"/>
        <v>24.223293855170553</v>
      </c>
      <c r="G404" s="238"/>
      <c r="H404" s="241"/>
    </row>
    <row r="405" spans="1:12" ht="63">
      <c r="A405" s="271">
        <v>1</v>
      </c>
      <c r="B405" s="242" t="s">
        <v>673</v>
      </c>
      <c r="C405" s="228" t="s">
        <v>482</v>
      </c>
      <c r="D405" s="229">
        <v>4565.0599999999995</v>
      </c>
      <c r="E405" s="229">
        <v>5000</v>
      </c>
      <c r="F405" s="240">
        <f t="shared" si="40"/>
        <v>9.5275856177136973</v>
      </c>
      <c r="G405" s="238"/>
      <c r="H405" s="241"/>
    </row>
    <row r="406" spans="1:12" ht="31.5">
      <c r="A406" s="267">
        <v>1</v>
      </c>
      <c r="B406" s="242" t="s">
        <v>674</v>
      </c>
      <c r="C406" s="228" t="s">
        <v>585</v>
      </c>
      <c r="D406" s="229">
        <v>0</v>
      </c>
      <c r="E406" s="229">
        <v>0</v>
      </c>
      <c r="F406" s="240">
        <f t="shared" si="40"/>
        <v>0</v>
      </c>
      <c r="G406" s="238"/>
      <c r="H406" s="241"/>
    </row>
    <row r="407" spans="1:12" ht="31.5">
      <c r="A407" s="267">
        <v>1</v>
      </c>
      <c r="B407" s="242" t="s">
        <v>675</v>
      </c>
      <c r="C407" s="228" t="s">
        <v>585</v>
      </c>
      <c r="D407" s="229">
        <v>0</v>
      </c>
      <c r="E407" s="229">
        <v>0</v>
      </c>
      <c r="F407" s="240">
        <f t="shared" si="40"/>
        <v>0</v>
      </c>
      <c r="G407" s="238"/>
      <c r="H407" s="241"/>
    </row>
    <row r="408" spans="1:12" ht="110.25">
      <c r="A408" s="267">
        <v>12</v>
      </c>
      <c r="B408" s="243" t="s">
        <v>676</v>
      </c>
      <c r="C408" s="228" t="s">
        <v>482</v>
      </c>
      <c r="D408" s="229"/>
      <c r="E408" s="229"/>
      <c r="F408" s="240">
        <f t="shared" si="40"/>
        <v>0</v>
      </c>
      <c r="G408" s="238"/>
      <c r="H408" s="241"/>
    </row>
    <row r="409" spans="1:12" ht="15.75">
      <c r="A409" s="500" t="s">
        <v>386</v>
      </c>
      <c r="B409" s="500"/>
      <c r="C409" s="500"/>
      <c r="D409" s="244">
        <f>SUM(D403:D408)</f>
        <v>297835.30526750005</v>
      </c>
      <c r="E409" s="244">
        <f>SUM(E403:E408)</f>
        <v>429487.50564802642</v>
      </c>
      <c r="F409" s="245">
        <f>SUM(F403:F408)</f>
        <v>78.779199562608667</v>
      </c>
      <c r="G409" s="244">
        <f>SUM(G403:G408)</f>
        <v>0</v>
      </c>
      <c r="H409" s="246">
        <f t="shared" ref="H409" si="41">IFERROR(G409/E409*100,)</f>
        <v>0</v>
      </c>
      <c r="I409" s="260"/>
      <c r="J409" s="260"/>
      <c r="L409" s="28"/>
    </row>
    <row r="410" spans="1:12" ht="27" customHeight="1">
      <c r="A410" s="249"/>
      <c r="B410" s="250"/>
      <c r="C410" s="250"/>
      <c r="D410" s="250"/>
      <c r="E410" s="250"/>
      <c r="F410" s="250"/>
      <c r="G410" s="250"/>
      <c r="H410" s="251"/>
    </row>
    <row r="411" spans="1:12" ht="15.75">
      <c r="A411" s="507" t="s">
        <v>335</v>
      </c>
      <c r="B411" s="508"/>
      <c r="C411" s="508"/>
      <c r="D411" s="508"/>
      <c r="E411" s="508"/>
      <c r="F411" s="508"/>
      <c r="G411" s="508"/>
      <c r="H411" s="509"/>
    </row>
    <row r="412" spans="1:12" ht="27" customHeight="1">
      <c r="A412" s="249"/>
      <c r="B412" s="250"/>
      <c r="C412" s="250"/>
      <c r="D412" s="250"/>
      <c r="E412" s="250"/>
      <c r="F412" s="250"/>
      <c r="G412" s="250"/>
      <c r="H412" s="251"/>
    </row>
    <row r="413" spans="1:12" ht="27" customHeight="1">
      <c r="A413" s="249"/>
      <c r="B413" s="250"/>
      <c r="C413" s="250"/>
      <c r="D413" s="250"/>
      <c r="E413" s="250"/>
      <c r="F413" s="250"/>
      <c r="G413" s="250"/>
      <c r="H413" s="251"/>
    </row>
    <row r="414" spans="1:12" ht="15.75">
      <c r="A414" s="490" t="s">
        <v>463</v>
      </c>
      <c r="B414" s="491"/>
      <c r="C414" s="492" t="s">
        <v>677</v>
      </c>
      <c r="D414" s="492"/>
      <c r="E414" s="492"/>
      <c r="F414" s="492"/>
      <c r="G414" s="492"/>
      <c r="H414" s="493"/>
    </row>
    <row r="415" spans="1:12" ht="15.75">
      <c r="A415" s="491" t="s">
        <v>180</v>
      </c>
      <c r="B415" s="491"/>
      <c r="C415" s="492" t="s">
        <v>163</v>
      </c>
      <c r="D415" s="492"/>
      <c r="E415" s="492"/>
      <c r="F415" s="492"/>
      <c r="G415" s="492"/>
      <c r="H415" s="493"/>
    </row>
    <row r="416" spans="1:12" ht="27" customHeight="1">
      <c r="A416" s="249"/>
      <c r="B416" s="250"/>
      <c r="C416" s="250"/>
      <c r="D416" s="250"/>
      <c r="E416" s="250"/>
      <c r="F416" s="250"/>
      <c r="G416" s="250" t="s">
        <v>464</v>
      </c>
      <c r="H416" s="251"/>
    </row>
    <row r="417" spans="1:12" ht="15.75">
      <c r="A417" s="494" t="s">
        <v>465</v>
      </c>
      <c r="B417" s="495"/>
      <c r="C417" s="495"/>
      <c r="D417" s="494" t="s">
        <v>466</v>
      </c>
      <c r="E417" s="495"/>
      <c r="F417" s="496"/>
      <c r="G417" s="502" t="s">
        <v>467</v>
      </c>
      <c r="H417" s="503"/>
    </row>
    <row r="418" spans="1:12" ht="15.75">
      <c r="A418" s="494" t="s">
        <v>468</v>
      </c>
      <c r="B418" s="495"/>
      <c r="C418" s="496"/>
      <c r="D418" s="494" t="s">
        <v>469</v>
      </c>
      <c r="E418" s="496"/>
      <c r="F418" s="497" t="s">
        <v>470</v>
      </c>
      <c r="G418" s="498" t="s">
        <v>471</v>
      </c>
      <c r="H418" s="498" t="s">
        <v>472</v>
      </c>
    </row>
    <row r="419" spans="1:12" ht="47.25">
      <c r="A419" s="234" t="s">
        <v>473</v>
      </c>
      <c r="B419" s="234" t="s">
        <v>474</v>
      </c>
      <c r="C419" s="235" t="s">
        <v>475</v>
      </c>
      <c r="D419" s="234" t="s">
        <v>476</v>
      </c>
      <c r="E419" s="234" t="s">
        <v>477</v>
      </c>
      <c r="F419" s="497"/>
      <c r="G419" s="499"/>
      <c r="H419" s="499"/>
    </row>
    <row r="420" spans="1:12" ht="31.5">
      <c r="A420" s="252">
        <v>1</v>
      </c>
      <c r="B420" s="242" t="s">
        <v>678</v>
      </c>
      <c r="C420" s="237" t="s">
        <v>482</v>
      </c>
      <c r="D420" s="238">
        <v>120000</v>
      </c>
      <c r="E420" s="229">
        <v>20000</v>
      </c>
      <c r="F420" s="240">
        <f t="shared" ref="F420:F421" si="42">IFERROR(E420/D420*100-100,)</f>
        <v>-83.333333333333343</v>
      </c>
      <c r="G420" s="238"/>
      <c r="H420" s="241"/>
    </row>
    <row r="421" spans="1:12" ht="31.5">
      <c r="A421" s="252">
        <v>1</v>
      </c>
      <c r="B421" s="242" t="s">
        <v>679</v>
      </c>
      <c r="C421" s="237" t="s">
        <v>482</v>
      </c>
      <c r="D421" s="238">
        <v>30000</v>
      </c>
      <c r="E421" s="229">
        <v>30000</v>
      </c>
      <c r="F421" s="240">
        <f t="shared" si="42"/>
        <v>0</v>
      </c>
      <c r="G421" s="238"/>
      <c r="H421" s="241"/>
    </row>
    <row r="422" spans="1:12" ht="15.75">
      <c r="A422" s="500" t="s">
        <v>386</v>
      </c>
      <c r="B422" s="500"/>
      <c r="C422" s="500"/>
      <c r="D422" s="244">
        <f>SUM(D420:D421)</f>
        <v>150000</v>
      </c>
      <c r="E422" s="244">
        <f>SUM(E420:E421)</f>
        <v>50000</v>
      </c>
      <c r="F422" s="245">
        <f>SUM(F420:F421)</f>
        <v>-83.333333333333343</v>
      </c>
      <c r="G422" s="244">
        <f>SUM(G420:G421)</f>
        <v>0</v>
      </c>
      <c r="H422" s="246">
        <f t="shared" ref="H422" si="43">IFERROR(G422/E422*100,)</f>
        <v>0</v>
      </c>
      <c r="I422" s="260"/>
      <c r="J422" s="260"/>
      <c r="L422" s="28"/>
    </row>
    <row r="423" spans="1:12" ht="27" customHeight="1">
      <c r="A423" s="249"/>
      <c r="B423" s="250"/>
      <c r="C423" s="250"/>
      <c r="D423" s="250"/>
      <c r="E423" s="250"/>
      <c r="F423" s="250"/>
      <c r="G423" s="250"/>
      <c r="H423" s="251"/>
    </row>
    <row r="424" spans="1:12" ht="15.75">
      <c r="A424" s="507" t="s">
        <v>335</v>
      </c>
      <c r="B424" s="508"/>
      <c r="C424" s="508"/>
      <c r="D424" s="508"/>
      <c r="E424" s="508"/>
      <c r="F424" s="508"/>
      <c r="G424" s="508"/>
      <c r="H424" s="509"/>
    </row>
    <row r="425" spans="1:12" ht="27" customHeight="1">
      <c r="A425" s="249"/>
      <c r="B425" s="250"/>
      <c r="C425" s="250"/>
      <c r="D425" s="250"/>
      <c r="E425" s="250"/>
      <c r="F425" s="250"/>
      <c r="G425" s="250"/>
      <c r="H425" s="251"/>
    </row>
    <row r="426" spans="1:12" ht="27" customHeight="1">
      <c r="A426" s="249"/>
      <c r="B426" s="250"/>
      <c r="C426" s="250"/>
      <c r="D426" s="250"/>
      <c r="E426" s="250"/>
      <c r="F426" s="250"/>
      <c r="G426" s="250"/>
      <c r="H426" s="251"/>
    </row>
    <row r="427" spans="1:12" ht="15.75">
      <c r="A427" s="490" t="s">
        <v>463</v>
      </c>
      <c r="B427" s="491"/>
      <c r="C427" s="492" t="s">
        <v>680</v>
      </c>
      <c r="D427" s="492"/>
      <c r="E427" s="492"/>
      <c r="F427" s="492"/>
      <c r="G427" s="492"/>
      <c r="H427" s="493"/>
    </row>
    <row r="428" spans="1:12" ht="15.75">
      <c r="A428" s="491" t="s">
        <v>180</v>
      </c>
      <c r="B428" s="491"/>
      <c r="C428" s="492" t="s">
        <v>145</v>
      </c>
      <c r="D428" s="492"/>
      <c r="E428" s="492"/>
      <c r="F428" s="492"/>
      <c r="G428" s="492"/>
      <c r="H428" s="493"/>
    </row>
    <row r="429" spans="1:12" ht="27" customHeight="1">
      <c r="A429" s="249"/>
      <c r="B429" s="250"/>
      <c r="C429" s="250"/>
      <c r="D429" s="250"/>
      <c r="E429" s="250"/>
      <c r="F429" s="250"/>
      <c r="G429" s="250" t="s">
        <v>464</v>
      </c>
      <c r="H429" s="251"/>
    </row>
    <row r="430" spans="1:12" ht="15.75">
      <c r="A430" s="494" t="s">
        <v>465</v>
      </c>
      <c r="B430" s="495"/>
      <c r="C430" s="495"/>
      <c r="D430" s="494" t="s">
        <v>466</v>
      </c>
      <c r="E430" s="495"/>
      <c r="F430" s="496"/>
      <c r="G430" s="502" t="s">
        <v>467</v>
      </c>
      <c r="H430" s="503"/>
    </row>
    <row r="431" spans="1:12" ht="15.75">
      <c r="A431" s="494" t="s">
        <v>468</v>
      </c>
      <c r="B431" s="495"/>
      <c r="C431" s="496"/>
      <c r="D431" s="494" t="s">
        <v>469</v>
      </c>
      <c r="E431" s="496"/>
      <c r="F431" s="497" t="s">
        <v>470</v>
      </c>
      <c r="G431" s="498" t="s">
        <v>471</v>
      </c>
      <c r="H431" s="498" t="s">
        <v>472</v>
      </c>
    </row>
    <row r="432" spans="1:12" ht="47.25">
      <c r="A432" s="234" t="s">
        <v>473</v>
      </c>
      <c r="B432" s="234" t="s">
        <v>474</v>
      </c>
      <c r="C432" s="235" t="s">
        <v>475</v>
      </c>
      <c r="D432" s="234" t="s">
        <v>476</v>
      </c>
      <c r="E432" s="234" t="s">
        <v>477</v>
      </c>
      <c r="F432" s="497"/>
      <c r="G432" s="499"/>
      <c r="H432" s="499"/>
    </row>
    <row r="433" spans="1:12" ht="94.5">
      <c r="A433" s="271">
        <v>1</v>
      </c>
      <c r="B433" s="242" t="s">
        <v>681</v>
      </c>
      <c r="C433" s="228" t="s">
        <v>482</v>
      </c>
      <c r="D433" s="229">
        <v>293288.85593000002</v>
      </c>
      <c r="E433" s="229">
        <v>416741.18405553332</v>
      </c>
      <c r="F433" s="240">
        <f t="shared" ref="F433:F438" si="44">IFERROR(E433/D433*100-100,)</f>
        <v>42.092403318248813</v>
      </c>
      <c r="G433" s="238"/>
      <c r="H433" s="241"/>
    </row>
    <row r="434" spans="1:12" ht="78.75">
      <c r="A434" s="271">
        <v>1</v>
      </c>
      <c r="B434" s="242" t="s">
        <v>682</v>
      </c>
      <c r="C434" s="228" t="s">
        <v>482</v>
      </c>
      <c r="D434" s="229">
        <v>1978.55</v>
      </c>
      <c r="E434" s="229">
        <v>5000</v>
      </c>
      <c r="F434" s="240">
        <f t="shared" si="44"/>
        <v>152.7103181622906</v>
      </c>
      <c r="G434" s="238"/>
      <c r="H434" s="241"/>
    </row>
    <row r="435" spans="1:12" ht="110.25">
      <c r="A435" s="271">
        <v>1</v>
      </c>
      <c r="B435" s="242" t="s">
        <v>683</v>
      </c>
      <c r="C435" s="228" t="s">
        <v>482</v>
      </c>
      <c r="D435" s="229">
        <v>32525.37</v>
      </c>
      <c r="E435" s="229">
        <v>40000</v>
      </c>
      <c r="F435" s="240">
        <f t="shared" si="44"/>
        <v>22.98092227697947</v>
      </c>
      <c r="G435" s="238"/>
      <c r="H435" s="241"/>
    </row>
    <row r="436" spans="1:12" ht="31.5">
      <c r="A436" s="266">
        <v>1</v>
      </c>
      <c r="B436" s="242" t="s">
        <v>684</v>
      </c>
      <c r="C436" s="228" t="s">
        <v>482</v>
      </c>
      <c r="D436" s="229">
        <v>0</v>
      </c>
      <c r="E436" s="229">
        <v>0</v>
      </c>
      <c r="F436" s="240">
        <f t="shared" si="44"/>
        <v>0</v>
      </c>
      <c r="G436" s="238"/>
      <c r="H436" s="241"/>
    </row>
    <row r="437" spans="1:12" ht="78.75">
      <c r="A437" s="266">
        <v>1</v>
      </c>
      <c r="B437" s="242" t="s">
        <v>685</v>
      </c>
      <c r="C437" s="228" t="s">
        <v>482</v>
      </c>
      <c r="D437" s="229">
        <v>0</v>
      </c>
      <c r="E437" s="229">
        <v>0</v>
      </c>
      <c r="F437" s="240">
        <f t="shared" si="44"/>
        <v>0</v>
      </c>
      <c r="G437" s="238"/>
      <c r="H437" s="241"/>
    </row>
    <row r="438" spans="1:12" ht="31.5">
      <c r="A438" s="271">
        <v>0.45</v>
      </c>
      <c r="B438" s="242" t="s">
        <v>686</v>
      </c>
      <c r="C438" s="228" t="s">
        <v>482</v>
      </c>
      <c r="D438" s="229"/>
      <c r="E438" s="229">
        <v>17000</v>
      </c>
      <c r="F438" s="240">
        <f t="shared" si="44"/>
        <v>0</v>
      </c>
      <c r="G438" s="238"/>
      <c r="H438" s="241"/>
    </row>
    <row r="439" spans="1:12" ht="15.75">
      <c r="A439" s="500" t="s">
        <v>386</v>
      </c>
      <c r="B439" s="500"/>
      <c r="C439" s="500"/>
      <c r="D439" s="244">
        <f>SUM(D433:D438)</f>
        <v>327792.77593</v>
      </c>
      <c r="E439" s="244">
        <f>SUM(E433:E438)</f>
        <v>478741.18405553332</v>
      </c>
      <c r="F439" s="245">
        <f>SUM(F433:F438)</f>
        <v>217.78364375751889</v>
      </c>
      <c r="G439" s="244">
        <f>SUM(G438:G438)</f>
        <v>0</v>
      </c>
      <c r="H439" s="246">
        <f t="shared" ref="H439" si="45">IFERROR(G439/E439*100,)</f>
        <v>0</v>
      </c>
      <c r="I439" s="260"/>
      <c r="J439" s="260"/>
      <c r="L439" s="28"/>
    </row>
    <row r="440" spans="1:12" ht="27" customHeight="1">
      <c r="A440" s="249"/>
      <c r="B440" s="250"/>
      <c r="C440" s="250"/>
      <c r="D440" s="250"/>
      <c r="E440" s="250"/>
      <c r="F440" s="250"/>
      <c r="G440" s="250"/>
      <c r="H440" s="251"/>
    </row>
    <row r="441" spans="1:12" ht="15.75">
      <c r="A441" s="507" t="s">
        <v>335</v>
      </c>
      <c r="B441" s="508"/>
      <c r="C441" s="508"/>
      <c r="D441" s="508"/>
      <c r="E441" s="508"/>
      <c r="F441" s="508"/>
      <c r="G441" s="508"/>
      <c r="H441" s="509"/>
    </row>
    <row r="442" spans="1:12" ht="27" customHeight="1">
      <c r="A442" s="249"/>
      <c r="B442" s="250"/>
      <c r="C442" s="250"/>
      <c r="D442" s="250"/>
      <c r="E442" s="250"/>
      <c r="F442" s="250"/>
      <c r="G442" s="250"/>
      <c r="H442" s="251"/>
    </row>
    <row r="443" spans="1:12" ht="27" customHeight="1">
      <c r="A443" s="249"/>
      <c r="B443" s="250"/>
      <c r="C443" s="250"/>
      <c r="D443" s="250"/>
      <c r="E443" s="250"/>
      <c r="F443" s="250"/>
      <c r="G443" s="250"/>
      <c r="H443" s="251"/>
    </row>
    <row r="444" spans="1:12" ht="15.75">
      <c r="A444" s="490" t="s">
        <v>463</v>
      </c>
      <c r="B444" s="491"/>
      <c r="C444" s="492" t="s">
        <v>276</v>
      </c>
      <c r="D444" s="492"/>
      <c r="E444" s="492"/>
      <c r="F444" s="492"/>
      <c r="G444" s="492"/>
      <c r="H444" s="493"/>
    </row>
    <row r="445" spans="1:12" ht="15.75">
      <c r="A445" s="491" t="s">
        <v>180</v>
      </c>
      <c r="B445" s="491"/>
      <c r="C445" s="492" t="s">
        <v>30</v>
      </c>
      <c r="D445" s="492"/>
      <c r="E445" s="492"/>
      <c r="F445" s="492"/>
      <c r="G445" s="492"/>
      <c r="H445" s="493"/>
    </row>
    <row r="446" spans="1:12" ht="27" customHeight="1">
      <c r="A446" s="249"/>
      <c r="B446" s="250"/>
      <c r="C446" s="250"/>
      <c r="D446" s="250"/>
      <c r="E446" s="250"/>
      <c r="F446" s="250"/>
      <c r="G446" s="250" t="s">
        <v>464</v>
      </c>
      <c r="H446" s="251"/>
    </row>
    <row r="447" spans="1:12" ht="15.75">
      <c r="A447" s="494" t="s">
        <v>465</v>
      </c>
      <c r="B447" s="495"/>
      <c r="C447" s="495"/>
      <c r="D447" s="494" t="s">
        <v>466</v>
      </c>
      <c r="E447" s="495"/>
      <c r="F447" s="496"/>
      <c r="G447" s="502" t="s">
        <v>467</v>
      </c>
      <c r="H447" s="503"/>
    </row>
    <row r="448" spans="1:12" ht="15.75">
      <c r="A448" s="494" t="s">
        <v>468</v>
      </c>
      <c r="B448" s="495"/>
      <c r="C448" s="496"/>
      <c r="D448" s="494" t="s">
        <v>469</v>
      </c>
      <c r="E448" s="496"/>
      <c r="F448" s="497" t="s">
        <v>470</v>
      </c>
      <c r="G448" s="498" t="s">
        <v>471</v>
      </c>
      <c r="H448" s="498" t="s">
        <v>472</v>
      </c>
    </row>
    <row r="449" spans="1:12" ht="47.25">
      <c r="A449" s="234" t="s">
        <v>473</v>
      </c>
      <c r="B449" s="234" t="s">
        <v>474</v>
      </c>
      <c r="C449" s="235" t="s">
        <v>475</v>
      </c>
      <c r="D449" s="234" t="s">
        <v>476</v>
      </c>
      <c r="E449" s="234" t="s">
        <v>477</v>
      </c>
      <c r="F449" s="497"/>
      <c r="G449" s="499"/>
      <c r="H449" s="499"/>
    </row>
    <row r="450" spans="1:12" ht="63">
      <c r="A450" s="271">
        <v>1</v>
      </c>
      <c r="B450" s="242" t="s">
        <v>687</v>
      </c>
      <c r="C450" s="228" t="s">
        <v>482</v>
      </c>
      <c r="D450" s="229">
        <v>1190136.8500000001</v>
      </c>
      <c r="E450" s="229">
        <v>1356281.7996340224</v>
      </c>
      <c r="F450" s="240">
        <f t="shared" ref="F450:F462" si="46">IFERROR(E450/D450*100-100,)</f>
        <v>13.960155055615857</v>
      </c>
      <c r="G450" s="238"/>
      <c r="H450" s="241"/>
    </row>
    <row r="451" spans="1:12" ht="78.75">
      <c r="A451" s="271">
        <v>1</v>
      </c>
      <c r="B451" s="242" t="s">
        <v>688</v>
      </c>
      <c r="C451" s="228" t="s">
        <v>482</v>
      </c>
      <c r="D451" s="229">
        <v>5000</v>
      </c>
      <c r="E451" s="229">
        <v>5000</v>
      </c>
      <c r="F451" s="240">
        <f t="shared" si="46"/>
        <v>0</v>
      </c>
      <c r="G451" s="238"/>
      <c r="H451" s="241"/>
    </row>
    <row r="452" spans="1:12" ht="110.25">
      <c r="A452" s="271">
        <v>1</v>
      </c>
      <c r="B452" s="242" t="s">
        <v>689</v>
      </c>
      <c r="C452" s="228" t="s">
        <v>482</v>
      </c>
      <c r="D452" s="229">
        <v>45353.11</v>
      </c>
      <c r="E452" s="229">
        <v>40000</v>
      </c>
      <c r="F452" s="240">
        <f t="shared" si="46"/>
        <v>-11.803181744316987</v>
      </c>
      <c r="G452" s="238"/>
      <c r="H452" s="241"/>
    </row>
    <row r="453" spans="1:12" ht="63">
      <c r="A453" s="271">
        <v>1</v>
      </c>
      <c r="B453" s="242" t="s">
        <v>690</v>
      </c>
      <c r="C453" s="228" t="s">
        <v>482</v>
      </c>
      <c r="D453" s="229">
        <v>3000</v>
      </c>
      <c r="E453" s="229">
        <v>3000</v>
      </c>
      <c r="F453" s="240">
        <f t="shared" si="46"/>
        <v>0</v>
      </c>
      <c r="G453" s="238"/>
      <c r="H453" s="241"/>
    </row>
    <row r="454" spans="1:12" ht="63">
      <c r="A454" s="266">
        <v>9</v>
      </c>
      <c r="B454" s="242" t="s">
        <v>691</v>
      </c>
      <c r="C454" s="228" t="s">
        <v>511</v>
      </c>
      <c r="D454" s="229">
        <v>0</v>
      </c>
      <c r="E454" s="229">
        <v>0</v>
      </c>
      <c r="F454" s="240">
        <f t="shared" si="46"/>
        <v>0</v>
      </c>
      <c r="G454" s="238"/>
      <c r="H454" s="241"/>
    </row>
    <row r="455" spans="1:12" ht="63">
      <c r="A455" s="266">
        <v>6</v>
      </c>
      <c r="B455" s="242" t="s">
        <v>692</v>
      </c>
      <c r="C455" s="228" t="s">
        <v>511</v>
      </c>
      <c r="D455" s="229">
        <v>0</v>
      </c>
      <c r="E455" s="229">
        <v>0</v>
      </c>
      <c r="F455" s="240">
        <f t="shared" si="46"/>
        <v>0</v>
      </c>
      <c r="G455" s="238"/>
      <c r="H455" s="241"/>
    </row>
    <row r="456" spans="1:12" ht="63">
      <c r="A456" s="266">
        <v>1000</v>
      </c>
      <c r="B456" s="242" t="s">
        <v>693</v>
      </c>
      <c r="C456" s="228" t="s">
        <v>504</v>
      </c>
      <c r="D456" s="229">
        <v>0</v>
      </c>
      <c r="E456" s="229">
        <v>0</v>
      </c>
      <c r="F456" s="240">
        <f t="shared" si="46"/>
        <v>0</v>
      </c>
      <c r="G456" s="238"/>
      <c r="H456" s="241"/>
    </row>
    <row r="457" spans="1:12" ht="110.25">
      <c r="A457" s="271">
        <v>0.6</v>
      </c>
      <c r="B457" s="242" t="s">
        <v>694</v>
      </c>
      <c r="C457" s="228" t="s">
        <v>507</v>
      </c>
      <c r="D457" s="229">
        <v>0</v>
      </c>
      <c r="E457" s="229">
        <v>0</v>
      </c>
      <c r="F457" s="240">
        <f t="shared" si="46"/>
        <v>0</v>
      </c>
      <c r="G457" s="238"/>
      <c r="H457" s="241"/>
    </row>
    <row r="458" spans="1:12" ht="110.25">
      <c r="A458" s="271">
        <v>0.25</v>
      </c>
      <c r="B458" s="242" t="s">
        <v>695</v>
      </c>
      <c r="C458" s="228" t="s">
        <v>507</v>
      </c>
      <c r="D458" s="229">
        <v>6000</v>
      </c>
      <c r="E458" s="229">
        <v>6000</v>
      </c>
      <c r="F458" s="240">
        <f t="shared" si="46"/>
        <v>0</v>
      </c>
      <c r="G458" s="238"/>
      <c r="H458" s="241"/>
    </row>
    <row r="459" spans="1:12" ht="110.25">
      <c r="A459" s="271">
        <v>0.8</v>
      </c>
      <c r="B459" s="242" t="s">
        <v>696</v>
      </c>
      <c r="C459" s="228" t="s">
        <v>507</v>
      </c>
      <c r="D459" s="229">
        <v>0</v>
      </c>
      <c r="E459" s="229">
        <v>0</v>
      </c>
      <c r="F459" s="240">
        <f t="shared" si="46"/>
        <v>0</v>
      </c>
      <c r="G459" s="238"/>
      <c r="H459" s="241"/>
    </row>
    <row r="460" spans="1:12" ht="94.5">
      <c r="A460" s="271">
        <v>0.5</v>
      </c>
      <c r="B460" s="242" t="s">
        <v>697</v>
      </c>
      <c r="C460" s="228" t="s">
        <v>504</v>
      </c>
      <c r="D460" s="229">
        <v>0</v>
      </c>
      <c r="E460" s="229">
        <v>0</v>
      </c>
      <c r="F460" s="240">
        <f t="shared" si="46"/>
        <v>0</v>
      </c>
      <c r="G460" s="238"/>
      <c r="H460" s="241"/>
    </row>
    <row r="461" spans="1:12" ht="94.5">
      <c r="A461" s="271">
        <v>0.5</v>
      </c>
      <c r="B461" s="242" t="s">
        <v>698</v>
      </c>
      <c r="C461" s="228" t="s">
        <v>504</v>
      </c>
      <c r="D461" s="229">
        <v>0</v>
      </c>
      <c r="E461" s="229">
        <v>0</v>
      </c>
      <c r="F461" s="240">
        <f t="shared" si="46"/>
        <v>0</v>
      </c>
      <c r="G461" s="238"/>
      <c r="H461" s="241"/>
    </row>
    <row r="462" spans="1:12" ht="78.75">
      <c r="A462" s="266">
        <v>4</v>
      </c>
      <c r="B462" s="242" t="s">
        <v>699</v>
      </c>
      <c r="C462" s="228" t="s">
        <v>482</v>
      </c>
      <c r="D462" s="229">
        <v>0</v>
      </c>
      <c r="E462" s="229">
        <v>0</v>
      </c>
      <c r="F462" s="240">
        <f t="shared" si="46"/>
        <v>0</v>
      </c>
      <c r="G462" s="238"/>
      <c r="H462" s="241"/>
    </row>
    <row r="463" spans="1:12" ht="15.75">
      <c r="A463" s="500" t="s">
        <v>386</v>
      </c>
      <c r="B463" s="500"/>
      <c r="C463" s="500"/>
      <c r="D463" s="244">
        <f>SUM(D450:D462)</f>
        <v>1249489.9600000002</v>
      </c>
      <c r="E463" s="244">
        <f>SUM(E450:E462)</f>
        <v>1410281.7996340224</v>
      </c>
      <c r="F463" s="245">
        <f>SUM(F450:F462)</f>
        <v>2.15697331129887</v>
      </c>
      <c r="G463" s="244">
        <f>SUM(G450:G462)</f>
        <v>0</v>
      </c>
      <c r="H463" s="246">
        <f t="shared" ref="H463" si="47">IFERROR(G463/E463*100,)</f>
        <v>0</v>
      </c>
      <c r="I463" s="260"/>
      <c r="J463" s="260"/>
      <c r="L463" s="28"/>
    </row>
    <row r="464" spans="1:12" ht="27" customHeight="1">
      <c r="A464" s="249"/>
      <c r="B464" s="250"/>
      <c r="C464" s="250"/>
      <c r="D464" s="250"/>
      <c r="E464" s="250"/>
      <c r="F464" s="250"/>
      <c r="G464" s="250"/>
      <c r="H464" s="251"/>
    </row>
    <row r="465" spans="1:12" ht="15.75">
      <c r="A465" s="507" t="s">
        <v>335</v>
      </c>
      <c r="B465" s="508"/>
      <c r="C465" s="508"/>
      <c r="D465" s="508"/>
      <c r="E465" s="508"/>
      <c r="F465" s="508"/>
      <c r="G465" s="508"/>
      <c r="H465" s="509"/>
    </row>
    <row r="466" spans="1:12" ht="27" customHeight="1">
      <c r="A466" s="249"/>
      <c r="B466" s="250"/>
      <c r="C466" s="250"/>
      <c r="D466" s="250"/>
      <c r="E466" s="250"/>
      <c r="F466" s="250"/>
      <c r="G466" s="250"/>
      <c r="H466" s="251"/>
    </row>
    <row r="467" spans="1:12" ht="27" customHeight="1">
      <c r="A467" s="249"/>
      <c r="B467" s="250"/>
      <c r="C467" s="250"/>
      <c r="D467" s="250"/>
      <c r="E467" s="250"/>
      <c r="F467" s="250"/>
      <c r="G467" s="250"/>
      <c r="H467" s="251"/>
    </row>
    <row r="468" spans="1:12" ht="15.75">
      <c r="A468" s="490" t="s">
        <v>463</v>
      </c>
      <c r="B468" s="491"/>
      <c r="C468" s="492" t="s">
        <v>280</v>
      </c>
      <c r="D468" s="492"/>
      <c r="E468" s="492"/>
      <c r="F468" s="492"/>
      <c r="G468" s="492"/>
      <c r="H468" s="493"/>
    </row>
    <row r="469" spans="1:12" ht="15.75">
      <c r="A469" s="491" t="s">
        <v>180</v>
      </c>
      <c r="B469" s="491"/>
      <c r="C469" s="492" t="s">
        <v>30</v>
      </c>
      <c r="D469" s="492"/>
      <c r="E469" s="492"/>
      <c r="F469" s="492"/>
      <c r="G469" s="492"/>
      <c r="H469" s="493"/>
    </row>
    <row r="470" spans="1:12" ht="27" customHeight="1">
      <c r="A470" s="249"/>
      <c r="B470" s="250"/>
      <c r="C470" s="250"/>
      <c r="D470" s="250"/>
      <c r="E470" s="250"/>
      <c r="F470" s="250"/>
      <c r="G470" s="250" t="s">
        <v>464</v>
      </c>
      <c r="H470" s="251"/>
    </row>
    <row r="471" spans="1:12" ht="15.75">
      <c r="A471" s="494" t="s">
        <v>465</v>
      </c>
      <c r="B471" s="495"/>
      <c r="C471" s="495"/>
      <c r="D471" s="494" t="s">
        <v>466</v>
      </c>
      <c r="E471" s="495"/>
      <c r="F471" s="496"/>
      <c r="G471" s="502" t="s">
        <v>467</v>
      </c>
      <c r="H471" s="503"/>
    </row>
    <row r="472" spans="1:12" ht="15.75">
      <c r="A472" s="494" t="s">
        <v>468</v>
      </c>
      <c r="B472" s="495"/>
      <c r="C472" s="496"/>
      <c r="D472" s="494" t="s">
        <v>469</v>
      </c>
      <c r="E472" s="496"/>
      <c r="F472" s="497" t="s">
        <v>470</v>
      </c>
      <c r="G472" s="498" t="s">
        <v>471</v>
      </c>
      <c r="H472" s="498" t="s">
        <v>472</v>
      </c>
    </row>
    <row r="473" spans="1:12" ht="47.25">
      <c r="A473" s="234" t="s">
        <v>473</v>
      </c>
      <c r="B473" s="234" t="s">
        <v>474</v>
      </c>
      <c r="C473" s="235" t="s">
        <v>475</v>
      </c>
      <c r="D473" s="234" t="s">
        <v>476</v>
      </c>
      <c r="E473" s="234" t="s">
        <v>477</v>
      </c>
      <c r="F473" s="497"/>
      <c r="G473" s="499"/>
      <c r="H473" s="499"/>
    </row>
    <row r="474" spans="1:12" ht="94.5">
      <c r="A474" s="255">
        <v>1500</v>
      </c>
      <c r="B474" s="242" t="s">
        <v>700</v>
      </c>
      <c r="C474" s="237" t="s">
        <v>511</v>
      </c>
      <c r="D474" s="238">
        <v>10000</v>
      </c>
      <c r="E474" s="229">
        <v>10000</v>
      </c>
      <c r="F474" s="240">
        <f t="shared" ref="F474:F479" si="48">IFERROR(E474/D474*100-100,)</f>
        <v>0</v>
      </c>
      <c r="G474" s="238"/>
      <c r="H474" s="241"/>
    </row>
    <row r="475" spans="1:12" ht="78.75">
      <c r="A475" s="255">
        <v>1500</v>
      </c>
      <c r="B475" s="242" t="s">
        <v>701</v>
      </c>
      <c r="C475" s="237" t="s">
        <v>511</v>
      </c>
      <c r="D475" s="238">
        <v>32000</v>
      </c>
      <c r="E475" s="229">
        <v>32000</v>
      </c>
      <c r="F475" s="240">
        <f t="shared" si="48"/>
        <v>0</v>
      </c>
      <c r="G475" s="238"/>
      <c r="H475" s="241"/>
    </row>
    <row r="476" spans="1:12" ht="94.5">
      <c r="A476" s="255">
        <v>1500</v>
      </c>
      <c r="B476" s="242" t="s">
        <v>702</v>
      </c>
      <c r="C476" s="237" t="s">
        <v>511</v>
      </c>
      <c r="D476" s="238">
        <v>40000</v>
      </c>
      <c r="E476" s="229">
        <v>40000</v>
      </c>
      <c r="F476" s="240">
        <f t="shared" si="48"/>
        <v>0</v>
      </c>
      <c r="G476" s="238"/>
      <c r="H476" s="241"/>
    </row>
    <row r="477" spans="1:12" ht="110.25">
      <c r="A477" s="255">
        <v>1500</v>
      </c>
      <c r="B477" s="242" t="s">
        <v>703</v>
      </c>
      <c r="C477" s="237" t="s">
        <v>511</v>
      </c>
      <c r="D477" s="238">
        <v>150000.00400000002</v>
      </c>
      <c r="E477" s="229">
        <v>118000</v>
      </c>
      <c r="F477" s="240">
        <f t="shared" si="48"/>
        <v>-21.333335431111067</v>
      </c>
      <c r="G477" s="238"/>
      <c r="H477" s="241"/>
    </row>
    <row r="478" spans="1:12" ht="47.25">
      <c r="A478" s="252">
        <v>0.9</v>
      </c>
      <c r="B478" s="242" t="s">
        <v>704</v>
      </c>
      <c r="C478" s="237" t="s">
        <v>511</v>
      </c>
      <c r="D478" s="238">
        <v>0</v>
      </c>
      <c r="E478" s="229">
        <v>0</v>
      </c>
      <c r="F478" s="240">
        <f t="shared" si="48"/>
        <v>0</v>
      </c>
      <c r="G478" s="238"/>
      <c r="H478" s="241"/>
    </row>
    <row r="479" spans="1:12" ht="15.75">
      <c r="A479" s="252">
        <v>1</v>
      </c>
      <c r="B479" s="243" t="s">
        <v>705</v>
      </c>
      <c r="C479" s="237" t="s">
        <v>482</v>
      </c>
      <c r="D479" s="238">
        <v>28000</v>
      </c>
      <c r="E479" s="229"/>
      <c r="F479" s="240">
        <f t="shared" si="48"/>
        <v>-100</v>
      </c>
      <c r="G479" s="238"/>
      <c r="H479" s="241"/>
    </row>
    <row r="480" spans="1:12" ht="15.75">
      <c r="A480" s="500" t="s">
        <v>386</v>
      </c>
      <c r="B480" s="500"/>
      <c r="C480" s="500"/>
      <c r="D480" s="244">
        <f>SUM(D474:D479)</f>
        <v>260000.00400000002</v>
      </c>
      <c r="E480" s="244">
        <f>SUM(E474:E479)</f>
        <v>200000</v>
      </c>
      <c r="F480" s="245">
        <f>SUM(F474:F479)</f>
        <v>-121.33333543111107</v>
      </c>
      <c r="G480" s="244">
        <f>SUM(G474:G479)</f>
        <v>0</v>
      </c>
      <c r="H480" s="246">
        <f t="shared" ref="H480" si="49">IFERROR(G480/E480*100,)</f>
        <v>0</v>
      </c>
      <c r="I480" s="260"/>
      <c r="J480" s="260"/>
      <c r="L480" s="28"/>
    </row>
    <row r="481" spans="1:12" ht="27" customHeight="1">
      <c r="A481" s="249"/>
      <c r="B481" s="250"/>
      <c r="C481" s="250"/>
      <c r="D481" s="250"/>
      <c r="E481" s="250"/>
      <c r="F481" s="250"/>
      <c r="G481" s="250"/>
      <c r="H481" s="251"/>
    </row>
    <row r="482" spans="1:12" ht="15.75">
      <c r="A482" s="507" t="s">
        <v>335</v>
      </c>
      <c r="B482" s="508"/>
      <c r="C482" s="508"/>
      <c r="D482" s="508"/>
      <c r="E482" s="508"/>
      <c r="F482" s="508"/>
      <c r="G482" s="508"/>
      <c r="H482" s="509"/>
    </row>
    <row r="483" spans="1:12" ht="27" customHeight="1">
      <c r="A483" s="249"/>
      <c r="B483" s="250"/>
      <c r="C483" s="250"/>
      <c r="D483" s="250"/>
      <c r="E483" s="250"/>
      <c r="F483" s="250"/>
      <c r="G483" s="250"/>
      <c r="H483" s="251"/>
    </row>
    <row r="484" spans="1:12" ht="27" customHeight="1">
      <c r="A484" s="249"/>
      <c r="B484" s="250"/>
      <c r="C484" s="250"/>
      <c r="D484" s="250"/>
      <c r="E484" s="250"/>
      <c r="F484" s="250"/>
      <c r="G484" s="250"/>
      <c r="H484" s="251"/>
    </row>
    <row r="485" spans="1:12" ht="15.75">
      <c r="A485" s="490" t="s">
        <v>463</v>
      </c>
      <c r="B485" s="491"/>
      <c r="C485" s="492" t="s">
        <v>706</v>
      </c>
      <c r="D485" s="492"/>
      <c r="E485" s="492"/>
      <c r="F485" s="492"/>
      <c r="G485" s="492"/>
      <c r="H485" s="493"/>
    </row>
    <row r="486" spans="1:12" ht="15.75">
      <c r="A486" s="491" t="s">
        <v>180</v>
      </c>
      <c r="B486" s="491"/>
      <c r="C486" s="492" t="s">
        <v>30</v>
      </c>
      <c r="D486" s="492"/>
      <c r="E486" s="492"/>
      <c r="F486" s="492"/>
      <c r="G486" s="492"/>
      <c r="H486" s="493"/>
    </row>
    <row r="487" spans="1:12" ht="15.75">
      <c r="A487" s="232"/>
      <c r="B487" s="232"/>
      <c r="C487" s="232"/>
      <c r="D487" s="233"/>
      <c r="E487" s="233"/>
      <c r="F487" s="233"/>
      <c r="G487" s="233" t="s">
        <v>464</v>
      </c>
      <c r="H487" s="233"/>
    </row>
    <row r="488" spans="1:12" ht="15.75">
      <c r="A488" s="494" t="s">
        <v>465</v>
      </c>
      <c r="B488" s="495"/>
      <c r="C488" s="495"/>
      <c r="D488" s="494" t="s">
        <v>466</v>
      </c>
      <c r="E488" s="495"/>
      <c r="F488" s="496"/>
      <c r="G488" s="502" t="s">
        <v>467</v>
      </c>
      <c r="H488" s="503"/>
    </row>
    <row r="489" spans="1:12" ht="15.75">
      <c r="A489" s="494" t="s">
        <v>468</v>
      </c>
      <c r="B489" s="495"/>
      <c r="C489" s="496"/>
      <c r="D489" s="494" t="s">
        <v>469</v>
      </c>
      <c r="E489" s="496"/>
      <c r="F489" s="497" t="s">
        <v>470</v>
      </c>
      <c r="G489" s="498" t="s">
        <v>471</v>
      </c>
      <c r="H489" s="498" t="s">
        <v>472</v>
      </c>
    </row>
    <row r="490" spans="1:12" ht="47.25">
      <c r="A490" s="234" t="s">
        <v>473</v>
      </c>
      <c r="B490" s="234" t="s">
        <v>474</v>
      </c>
      <c r="C490" s="235" t="s">
        <v>475</v>
      </c>
      <c r="D490" s="234" t="s">
        <v>476</v>
      </c>
      <c r="E490" s="234" t="s">
        <v>477</v>
      </c>
      <c r="F490" s="497"/>
      <c r="G490" s="499"/>
      <c r="H490" s="499"/>
    </row>
    <row r="491" spans="1:12" ht="31.5">
      <c r="A491" s="257">
        <v>12</v>
      </c>
      <c r="B491" s="242" t="s">
        <v>707</v>
      </c>
      <c r="C491" s="237" t="s">
        <v>482</v>
      </c>
      <c r="D491" s="238">
        <v>672962.27</v>
      </c>
      <c r="E491" s="229">
        <v>896349.2</v>
      </c>
      <c r="F491" s="240">
        <f t="shared" ref="F491" si="50">IFERROR(E491/D491*100-100,)</f>
        <v>33.194569734199206</v>
      </c>
      <c r="G491" s="238"/>
      <c r="H491" s="241"/>
    </row>
    <row r="492" spans="1:12" ht="15.75">
      <c r="A492" s="500" t="s">
        <v>386</v>
      </c>
      <c r="B492" s="500"/>
      <c r="C492" s="500"/>
      <c r="D492" s="244">
        <f>SUM(D491:D491)</f>
        <v>672962.27</v>
      </c>
      <c r="E492" s="244">
        <f>SUM(E491:E491)</f>
        <v>896349.2</v>
      </c>
      <c r="F492" s="244">
        <f>SUM(F491:F491)</f>
        <v>33.194569734199206</v>
      </c>
      <c r="G492" s="244">
        <f>SUM(G491:G491)</f>
        <v>0</v>
      </c>
      <c r="H492" s="246">
        <f t="shared" ref="H492" si="51">IFERROR(G492/E492*100,)</f>
        <v>0</v>
      </c>
      <c r="I492" s="260"/>
      <c r="J492" s="260"/>
      <c r="L492" s="28"/>
    </row>
    <row r="493" spans="1:12" ht="27" customHeight="1">
      <c r="A493" s="249"/>
      <c r="B493" s="250"/>
      <c r="C493" s="250"/>
      <c r="D493" s="250"/>
      <c r="E493" s="250"/>
      <c r="F493" s="250"/>
      <c r="G493" s="250"/>
      <c r="H493" s="251"/>
    </row>
    <row r="494" spans="1:12" ht="15.75">
      <c r="A494" s="507" t="s">
        <v>335</v>
      </c>
      <c r="B494" s="508"/>
      <c r="C494" s="508"/>
      <c r="D494" s="508"/>
      <c r="E494" s="508"/>
      <c r="F494" s="508"/>
      <c r="G494" s="508"/>
      <c r="H494" s="509"/>
    </row>
    <row r="495" spans="1:12" ht="27" customHeight="1">
      <c r="A495" s="249"/>
      <c r="B495" s="250"/>
      <c r="C495" s="250"/>
      <c r="D495" s="250"/>
      <c r="E495" s="250"/>
      <c r="F495" s="250"/>
      <c r="G495" s="250"/>
      <c r="H495" s="251"/>
    </row>
    <row r="496" spans="1:12" ht="27" customHeight="1">
      <c r="A496" s="249"/>
      <c r="B496" s="250"/>
      <c r="C496" s="250"/>
      <c r="D496" s="250"/>
      <c r="E496" s="250"/>
      <c r="F496" s="250"/>
      <c r="G496" s="250"/>
      <c r="H496" s="251"/>
    </row>
    <row r="497" spans="1:10" ht="15.75">
      <c r="A497" s="490" t="s">
        <v>463</v>
      </c>
      <c r="B497" s="491"/>
      <c r="C497" s="492" t="s">
        <v>287</v>
      </c>
      <c r="D497" s="492"/>
      <c r="E497" s="492"/>
      <c r="F497" s="492"/>
      <c r="G497" s="492"/>
      <c r="H497" s="493"/>
    </row>
    <row r="498" spans="1:10" ht="15.75">
      <c r="A498" s="491" t="s">
        <v>180</v>
      </c>
      <c r="B498" s="491"/>
      <c r="C498" s="492" t="s">
        <v>253</v>
      </c>
      <c r="D498" s="492"/>
      <c r="E498" s="492"/>
      <c r="F498" s="492"/>
      <c r="G498" s="492"/>
      <c r="H498" s="493"/>
    </row>
    <row r="499" spans="1:10" ht="27" customHeight="1">
      <c r="A499" s="249"/>
      <c r="B499" s="250"/>
      <c r="C499" s="250"/>
      <c r="D499" s="250"/>
      <c r="E499" s="250"/>
      <c r="F499" s="250"/>
      <c r="G499" s="250" t="s">
        <v>464</v>
      </c>
      <c r="H499" s="251"/>
    </row>
    <row r="500" spans="1:10" ht="15.75">
      <c r="A500" s="494" t="s">
        <v>465</v>
      </c>
      <c r="B500" s="495"/>
      <c r="C500" s="495"/>
      <c r="D500" s="494" t="s">
        <v>466</v>
      </c>
      <c r="E500" s="495"/>
      <c r="F500" s="496"/>
      <c r="G500" s="502" t="s">
        <v>467</v>
      </c>
      <c r="H500" s="503"/>
    </row>
    <row r="501" spans="1:10" ht="15.75">
      <c r="A501" s="494" t="s">
        <v>468</v>
      </c>
      <c r="B501" s="495"/>
      <c r="C501" s="496"/>
      <c r="D501" s="494" t="s">
        <v>469</v>
      </c>
      <c r="E501" s="496"/>
      <c r="F501" s="497" t="s">
        <v>470</v>
      </c>
      <c r="G501" s="498" t="s">
        <v>471</v>
      </c>
      <c r="H501" s="498" t="s">
        <v>472</v>
      </c>
    </row>
    <row r="502" spans="1:10" ht="47.25">
      <c r="A502" s="234" t="s">
        <v>473</v>
      </c>
      <c r="B502" s="234" t="s">
        <v>474</v>
      </c>
      <c r="C502" s="235" t="s">
        <v>475</v>
      </c>
      <c r="D502" s="234" t="s">
        <v>476</v>
      </c>
      <c r="E502" s="234" t="s">
        <v>477</v>
      </c>
      <c r="F502" s="497"/>
      <c r="G502" s="499"/>
      <c r="H502" s="499"/>
    </row>
    <row r="503" spans="1:10" ht="47.25">
      <c r="A503" s="252">
        <v>1</v>
      </c>
      <c r="B503" s="242" t="s">
        <v>708</v>
      </c>
      <c r="C503" s="237" t="s">
        <v>482</v>
      </c>
      <c r="D503" s="238">
        <v>1429173.8725927779</v>
      </c>
      <c r="E503" s="229">
        <v>1632526.1228844675</v>
      </c>
      <c r="F503" s="240">
        <f t="shared" ref="F503:F510" si="52">IFERROR(E503/D503*100-100,)</f>
        <v>14.228657141819426</v>
      </c>
      <c r="G503" s="238"/>
      <c r="H503" s="241"/>
    </row>
    <row r="504" spans="1:10" ht="63">
      <c r="A504" s="252">
        <v>1</v>
      </c>
      <c r="B504" s="242" t="s">
        <v>709</v>
      </c>
      <c r="C504" s="237" t="s">
        <v>482</v>
      </c>
      <c r="D504" s="238">
        <v>4500</v>
      </c>
      <c r="E504" s="229">
        <v>5000</v>
      </c>
      <c r="F504" s="240">
        <f t="shared" si="52"/>
        <v>11.111111111111114</v>
      </c>
      <c r="G504" s="238"/>
      <c r="H504" s="241"/>
    </row>
    <row r="505" spans="1:10" ht="78.75">
      <c r="A505" s="252">
        <v>1</v>
      </c>
      <c r="B505" s="242" t="s">
        <v>710</v>
      </c>
      <c r="C505" s="237" t="s">
        <v>482</v>
      </c>
      <c r="D505" s="238">
        <v>32787.97</v>
      </c>
      <c r="E505" s="229">
        <v>35000</v>
      </c>
      <c r="F505" s="240">
        <f t="shared" si="52"/>
        <v>6.7464682930965125</v>
      </c>
      <c r="G505" s="238"/>
      <c r="H505" s="241"/>
    </row>
    <row r="506" spans="1:10" ht="31.5">
      <c r="A506" s="252">
        <v>1</v>
      </c>
      <c r="B506" s="242" t="s">
        <v>711</v>
      </c>
      <c r="C506" s="237" t="s">
        <v>482</v>
      </c>
      <c r="D506" s="238">
        <v>44107.673999999999</v>
      </c>
      <c r="E506" s="229">
        <v>5000</v>
      </c>
      <c r="F506" s="240">
        <f t="shared" si="52"/>
        <v>-88.664104119387474</v>
      </c>
      <c r="G506" s="238"/>
      <c r="H506" s="241"/>
    </row>
    <row r="507" spans="1:10" ht="15.75">
      <c r="A507" s="255">
        <v>1</v>
      </c>
      <c r="B507" s="243" t="s">
        <v>712</v>
      </c>
      <c r="C507" s="237" t="s">
        <v>482</v>
      </c>
      <c r="D507" s="238">
        <v>5000</v>
      </c>
      <c r="E507" s="229">
        <v>30000</v>
      </c>
      <c r="F507" s="240">
        <f t="shared" si="52"/>
        <v>500</v>
      </c>
      <c r="G507" s="238"/>
      <c r="H507" s="241"/>
    </row>
    <row r="508" spans="1:10" ht="31.5">
      <c r="A508" s="255">
        <v>3</v>
      </c>
      <c r="B508" s="243" t="s">
        <v>713</v>
      </c>
      <c r="C508" s="237" t="s">
        <v>714</v>
      </c>
      <c r="D508" s="238"/>
      <c r="E508" s="238">
        <v>0</v>
      </c>
      <c r="F508" s="240">
        <f t="shared" si="52"/>
        <v>0</v>
      </c>
      <c r="G508" s="238"/>
      <c r="H508" s="241"/>
    </row>
    <row r="509" spans="1:10" ht="15.75">
      <c r="A509" s="255">
        <v>3</v>
      </c>
      <c r="B509" s="243" t="s">
        <v>715</v>
      </c>
      <c r="C509" s="237" t="s">
        <v>714</v>
      </c>
      <c r="D509" s="238">
        <v>0</v>
      </c>
      <c r="E509" s="238">
        <v>0</v>
      </c>
      <c r="F509" s="240">
        <f t="shared" si="52"/>
        <v>0</v>
      </c>
      <c r="G509" s="238"/>
      <c r="H509" s="241"/>
    </row>
    <row r="510" spans="1:10" ht="31.5">
      <c r="A510" s="255"/>
      <c r="B510" s="242" t="s">
        <v>716</v>
      </c>
      <c r="C510" s="237" t="s">
        <v>482</v>
      </c>
      <c r="D510" s="238">
        <v>0</v>
      </c>
      <c r="E510" s="238">
        <v>18518.400000000001</v>
      </c>
      <c r="F510" s="240">
        <f t="shared" si="52"/>
        <v>0</v>
      </c>
      <c r="G510" s="238"/>
      <c r="H510" s="241"/>
    </row>
    <row r="511" spans="1:10" ht="15.75">
      <c r="A511" s="500" t="s">
        <v>386</v>
      </c>
      <c r="B511" s="500"/>
      <c r="C511" s="500"/>
      <c r="D511" s="244">
        <f>SUM(D503:D509)</f>
        <v>1515569.5165927778</v>
      </c>
      <c r="E511" s="244">
        <f>SUM(E503:E510)</f>
        <v>1726044.5228844674</v>
      </c>
      <c r="F511" s="245">
        <f>SUM(F503:F509)</f>
        <v>443.42213242663956</v>
      </c>
      <c r="G511" s="244">
        <f>SUM(G503:G509)</f>
        <v>0</v>
      </c>
      <c r="H511" s="246">
        <f t="shared" ref="H511" si="53">IFERROR(G511/E511*100,)</f>
        <v>0</v>
      </c>
      <c r="I511" s="260"/>
      <c r="J511" s="260"/>
    </row>
    <row r="512" spans="1:10" ht="27" customHeight="1">
      <c r="A512" s="249"/>
      <c r="B512" s="250"/>
      <c r="C512" s="250"/>
      <c r="D512" s="250"/>
      <c r="E512" s="250"/>
      <c r="F512" s="250"/>
      <c r="G512" s="250"/>
      <c r="H512" s="251"/>
    </row>
    <row r="513" spans="1:10" ht="15.75">
      <c r="A513" s="507" t="s">
        <v>335</v>
      </c>
      <c r="B513" s="508"/>
      <c r="C513" s="508"/>
      <c r="D513" s="508"/>
      <c r="E513" s="508"/>
      <c r="F513" s="508"/>
      <c r="G513" s="508"/>
      <c r="H513" s="509"/>
    </row>
    <row r="514" spans="1:10" ht="27" customHeight="1">
      <c r="A514" s="249"/>
      <c r="B514" s="250"/>
      <c r="C514" s="250"/>
      <c r="D514" s="250"/>
      <c r="E514" s="250"/>
      <c r="F514" s="250"/>
      <c r="G514" s="250"/>
      <c r="H514" s="251"/>
    </row>
    <row r="515" spans="1:10" ht="27" customHeight="1">
      <c r="A515" s="249"/>
      <c r="B515" s="250"/>
      <c r="C515" s="250"/>
      <c r="D515" s="250"/>
      <c r="E515" s="250"/>
      <c r="F515" s="250"/>
      <c r="G515" s="250"/>
      <c r="H515" s="251"/>
    </row>
    <row r="516" spans="1:10" ht="15.75">
      <c r="A516" s="490" t="s">
        <v>463</v>
      </c>
      <c r="B516" s="491"/>
      <c r="C516" s="492" t="s">
        <v>291</v>
      </c>
      <c r="D516" s="492"/>
      <c r="E516" s="492"/>
      <c r="F516" s="492"/>
      <c r="G516" s="492"/>
      <c r="H516" s="493"/>
    </row>
    <row r="517" spans="1:10" ht="15.75">
      <c r="A517" s="491" t="s">
        <v>180</v>
      </c>
      <c r="B517" s="491"/>
      <c r="C517" s="492" t="s">
        <v>253</v>
      </c>
      <c r="D517" s="492"/>
      <c r="E517" s="492"/>
      <c r="F517" s="492"/>
      <c r="G517" s="492"/>
      <c r="H517" s="493"/>
    </row>
    <row r="518" spans="1:10" ht="27" customHeight="1">
      <c r="A518" s="249"/>
      <c r="B518" s="250"/>
      <c r="C518" s="250"/>
      <c r="D518" s="250"/>
      <c r="E518" s="250"/>
      <c r="F518" s="250"/>
      <c r="G518" s="250" t="s">
        <v>464</v>
      </c>
      <c r="H518" s="251"/>
    </row>
    <row r="519" spans="1:10" ht="15.75">
      <c r="A519" s="494" t="s">
        <v>465</v>
      </c>
      <c r="B519" s="495"/>
      <c r="C519" s="495"/>
      <c r="D519" s="494" t="s">
        <v>466</v>
      </c>
      <c r="E519" s="495"/>
      <c r="F519" s="496"/>
      <c r="G519" s="502" t="s">
        <v>467</v>
      </c>
      <c r="H519" s="503"/>
    </row>
    <row r="520" spans="1:10" ht="15.75">
      <c r="A520" s="494" t="s">
        <v>468</v>
      </c>
      <c r="B520" s="495"/>
      <c r="C520" s="496"/>
      <c r="D520" s="494" t="s">
        <v>469</v>
      </c>
      <c r="E520" s="496"/>
      <c r="F520" s="497" t="s">
        <v>470</v>
      </c>
      <c r="G520" s="498" t="s">
        <v>471</v>
      </c>
      <c r="H520" s="498" t="s">
        <v>472</v>
      </c>
    </row>
    <row r="521" spans="1:10" ht="47.25">
      <c r="A521" s="234" t="s">
        <v>473</v>
      </c>
      <c r="B521" s="234" t="s">
        <v>474</v>
      </c>
      <c r="C521" s="235" t="s">
        <v>475</v>
      </c>
      <c r="D521" s="234" t="s">
        <v>476</v>
      </c>
      <c r="E521" s="234" t="s">
        <v>477</v>
      </c>
      <c r="F521" s="497"/>
      <c r="G521" s="499"/>
      <c r="H521" s="499"/>
    </row>
    <row r="522" spans="1:10" ht="63">
      <c r="A522" s="257">
        <v>12</v>
      </c>
      <c r="B522" s="242" t="s">
        <v>717</v>
      </c>
      <c r="C522" s="237" t="s">
        <v>482</v>
      </c>
      <c r="D522" s="238">
        <v>101585.59</v>
      </c>
      <c r="E522" s="229">
        <v>111232.17</v>
      </c>
      <c r="F522" s="240">
        <f t="shared" ref="F522" si="54">IFERROR(E522/D522*100-100,)</f>
        <v>9.4960121804677158</v>
      </c>
      <c r="G522" s="238"/>
      <c r="H522" s="241"/>
    </row>
    <row r="523" spans="1:10" ht="15.75">
      <c r="A523" s="500" t="s">
        <v>386</v>
      </c>
      <c r="B523" s="500"/>
      <c r="C523" s="500"/>
      <c r="D523" s="244">
        <f>SUM(D522:D522)</f>
        <v>101585.59</v>
      </c>
      <c r="E523" s="244">
        <f>SUM(E522:E522)</f>
        <v>111232.17</v>
      </c>
      <c r="F523" s="244">
        <f>SUM(F522:F522)</f>
        <v>9.4960121804677158</v>
      </c>
      <c r="G523" s="244">
        <f>SUM(G522:G522)</f>
        <v>0</v>
      </c>
      <c r="H523" s="246">
        <f t="shared" ref="H523" si="55">IFERROR(G523/E523*100,)</f>
        <v>0</v>
      </c>
      <c r="I523" s="260"/>
      <c r="J523" s="260"/>
    </row>
    <row r="524" spans="1:10" ht="27" customHeight="1">
      <c r="A524" s="249"/>
      <c r="B524" s="250"/>
      <c r="C524" s="250"/>
      <c r="D524" s="250"/>
      <c r="E524" s="250"/>
      <c r="F524" s="250"/>
      <c r="G524" s="250"/>
      <c r="H524" s="251"/>
    </row>
    <row r="525" spans="1:10" ht="15.75">
      <c r="A525" s="507" t="s">
        <v>335</v>
      </c>
      <c r="B525" s="508"/>
      <c r="C525" s="508"/>
      <c r="D525" s="508"/>
      <c r="E525" s="508"/>
      <c r="F525" s="508"/>
      <c r="G525" s="508"/>
      <c r="H525" s="509"/>
    </row>
    <row r="526" spans="1:10" ht="27" customHeight="1">
      <c r="A526" s="249"/>
      <c r="B526" s="250"/>
      <c r="C526" s="250"/>
      <c r="D526" s="250"/>
      <c r="E526" s="250"/>
      <c r="F526" s="250"/>
      <c r="G526" s="250"/>
      <c r="H526" s="251"/>
    </row>
    <row r="527" spans="1:10" ht="27" customHeight="1">
      <c r="A527" s="249"/>
      <c r="B527" s="250"/>
      <c r="C527" s="250"/>
      <c r="D527" s="250"/>
      <c r="E527" s="250"/>
      <c r="F527" s="250"/>
      <c r="G527" s="250"/>
      <c r="H527" s="251"/>
    </row>
    <row r="528" spans="1:10" ht="15.75">
      <c r="A528" s="490" t="s">
        <v>463</v>
      </c>
      <c r="B528" s="491"/>
      <c r="C528" s="492" t="s">
        <v>294</v>
      </c>
      <c r="D528" s="492"/>
      <c r="E528" s="492"/>
      <c r="F528" s="492"/>
      <c r="G528" s="492"/>
      <c r="H528" s="493"/>
    </row>
    <row r="529" spans="1:10" ht="15.75">
      <c r="A529" s="491" t="s">
        <v>180</v>
      </c>
      <c r="B529" s="491"/>
      <c r="C529" s="492" t="s">
        <v>145</v>
      </c>
      <c r="D529" s="492"/>
      <c r="E529" s="492"/>
      <c r="F529" s="492"/>
      <c r="G529" s="492"/>
      <c r="H529" s="493"/>
    </row>
    <row r="530" spans="1:10" ht="27" customHeight="1">
      <c r="A530" s="249"/>
      <c r="B530" s="250"/>
      <c r="C530" s="250"/>
      <c r="D530" s="250"/>
      <c r="E530" s="250"/>
      <c r="F530" s="250"/>
      <c r="G530" s="250" t="s">
        <v>464</v>
      </c>
      <c r="H530" s="251"/>
    </row>
    <row r="531" spans="1:10" ht="15.75">
      <c r="A531" s="494" t="s">
        <v>465</v>
      </c>
      <c r="B531" s="495"/>
      <c r="C531" s="495"/>
      <c r="D531" s="494" t="s">
        <v>466</v>
      </c>
      <c r="E531" s="495"/>
      <c r="F531" s="496"/>
      <c r="G531" s="502" t="s">
        <v>467</v>
      </c>
      <c r="H531" s="503"/>
    </row>
    <row r="532" spans="1:10" ht="15.75">
      <c r="A532" s="494" t="s">
        <v>468</v>
      </c>
      <c r="B532" s="495"/>
      <c r="C532" s="496"/>
      <c r="D532" s="494" t="s">
        <v>469</v>
      </c>
      <c r="E532" s="496"/>
      <c r="F532" s="497" t="s">
        <v>470</v>
      </c>
      <c r="G532" s="498" t="s">
        <v>471</v>
      </c>
      <c r="H532" s="498" t="s">
        <v>472</v>
      </c>
    </row>
    <row r="533" spans="1:10" ht="47.25">
      <c r="A533" s="234" t="s">
        <v>473</v>
      </c>
      <c r="B533" s="234" t="s">
        <v>474</v>
      </c>
      <c r="C533" s="235" t="s">
        <v>475</v>
      </c>
      <c r="D533" s="234" t="s">
        <v>476</v>
      </c>
      <c r="E533" s="234" t="s">
        <v>477</v>
      </c>
      <c r="F533" s="497"/>
      <c r="G533" s="499"/>
      <c r="H533" s="499"/>
    </row>
    <row r="534" spans="1:10" ht="94.5">
      <c r="A534" s="252">
        <v>1</v>
      </c>
      <c r="B534" s="242" t="s">
        <v>718</v>
      </c>
      <c r="C534" s="237" t="s">
        <v>482</v>
      </c>
      <c r="D534" s="238">
        <v>484791.41137999995</v>
      </c>
      <c r="E534" s="229">
        <v>607253.9430184667</v>
      </c>
      <c r="F534" s="240">
        <f t="shared" ref="F534:F538" si="56">IFERROR(E534/D534*100-100,)</f>
        <v>25.260870709294707</v>
      </c>
      <c r="G534" s="238"/>
      <c r="H534" s="241"/>
    </row>
    <row r="535" spans="1:10" ht="94.5">
      <c r="A535" s="252">
        <v>1</v>
      </c>
      <c r="B535" s="242" t="s">
        <v>719</v>
      </c>
      <c r="C535" s="237" t="s">
        <v>482</v>
      </c>
      <c r="D535" s="238">
        <v>2000</v>
      </c>
      <c r="E535" s="229">
        <v>5000</v>
      </c>
      <c r="F535" s="240">
        <f t="shared" si="56"/>
        <v>150</v>
      </c>
      <c r="G535" s="238"/>
      <c r="H535" s="241"/>
    </row>
    <row r="536" spans="1:10" ht="126">
      <c r="A536" s="252">
        <v>1</v>
      </c>
      <c r="B536" s="242" t="s">
        <v>720</v>
      </c>
      <c r="C536" s="237" t="s">
        <v>482</v>
      </c>
      <c r="D536" s="238">
        <v>16181.791999999999</v>
      </c>
      <c r="E536" s="229">
        <v>20000</v>
      </c>
      <c r="F536" s="240">
        <f t="shared" si="56"/>
        <v>23.595705593051747</v>
      </c>
      <c r="G536" s="238"/>
      <c r="H536" s="241"/>
    </row>
    <row r="537" spans="1:10" ht="94.5">
      <c r="A537" s="252">
        <v>1</v>
      </c>
      <c r="B537" s="242" t="s">
        <v>721</v>
      </c>
      <c r="C537" s="237" t="s">
        <v>482</v>
      </c>
      <c r="D537" s="238">
        <v>55952</v>
      </c>
      <c r="E537" s="229">
        <v>25000</v>
      </c>
      <c r="F537" s="240">
        <f t="shared" si="56"/>
        <v>-55.318844724049185</v>
      </c>
      <c r="G537" s="238"/>
      <c r="H537" s="241"/>
    </row>
    <row r="538" spans="1:10" ht="15.75">
      <c r="A538" s="255">
        <v>1</v>
      </c>
      <c r="B538" s="243" t="s">
        <v>722</v>
      </c>
      <c r="C538" s="237" t="s">
        <v>482</v>
      </c>
      <c r="D538" s="238">
        <v>10000</v>
      </c>
      <c r="E538" s="229"/>
      <c r="F538" s="240">
        <f t="shared" si="56"/>
        <v>-100</v>
      </c>
      <c r="G538" s="238"/>
      <c r="H538" s="241"/>
    </row>
    <row r="539" spans="1:10" ht="15.75">
      <c r="A539" s="500" t="s">
        <v>386</v>
      </c>
      <c r="B539" s="500"/>
      <c r="C539" s="500"/>
      <c r="D539" s="244">
        <f>SUM(D534:D538)</f>
        <v>568925.20337999996</v>
      </c>
      <c r="E539" s="244">
        <f>SUM(E534:E538)</f>
        <v>657253.9430184667</v>
      </c>
      <c r="F539" s="245">
        <f>SUM(F534:F538)</f>
        <v>43.537731578297269</v>
      </c>
      <c r="G539" s="244">
        <f>SUM(G534:G538)</f>
        <v>0</v>
      </c>
      <c r="H539" s="246">
        <f t="shared" ref="H539" si="57">IFERROR(G539/E539*100,)</f>
        <v>0</v>
      </c>
      <c r="I539" s="260"/>
      <c r="J539" s="260"/>
    </row>
    <row r="540" spans="1:10" ht="27" customHeight="1">
      <c r="A540" s="249"/>
      <c r="B540" s="250"/>
      <c r="C540" s="250"/>
      <c r="D540" s="250"/>
      <c r="E540" s="250"/>
      <c r="F540" s="250"/>
      <c r="G540" s="250"/>
      <c r="H540" s="251"/>
    </row>
    <row r="541" spans="1:10" ht="15.75">
      <c r="A541" s="507" t="s">
        <v>335</v>
      </c>
      <c r="B541" s="508"/>
      <c r="C541" s="508"/>
      <c r="D541" s="508"/>
      <c r="E541" s="508"/>
      <c r="F541" s="508"/>
      <c r="G541" s="508"/>
      <c r="H541" s="509"/>
    </row>
    <row r="542" spans="1:10" ht="27" customHeight="1">
      <c r="A542" s="249"/>
      <c r="B542" s="250"/>
      <c r="C542" s="250"/>
      <c r="D542" s="250"/>
      <c r="E542" s="250"/>
      <c r="F542" s="250"/>
      <c r="G542" s="250"/>
      <c r="H542" s="251"/>
    </row>
    <row r="543" spans="1:10" ht="27" customHeight="1">
      <c r="A543" s="249"/>
      <c r="B543" s="250"/>
      <c r="C543" s="250"/>
      <c r="D543" s="250"/>
      <c r="E543" s="250"/>
      <c r="F543" s="250"/>
      <c r="G543" s="250"/>
      <c r="H543" s="251"/>
    </row>
    <row r="544" spans="1:10" ht="15.75">
      <c r="A544" s="490" t="s">
        <v>463</v>
      </c>
      <c r="B544" s="491"/>
      <c r="C544" s="492" t="s">
        <v>298</v>
      </c>
      <c r="D544" s="492"/>
      <c r="E544" s="492"/>
      <c r="F544" s="492"/>
      <c r="G544" s="492"/>
      <c r="H544" s="493"/>
    </row>
    <row r="545" spans="1:10" ht="15.75">
      <c r="A545" s="491" t="s">
        <v>180</v>
      </c>
      <c r="B545" s="491"/>
      <c r="C545" s="492" t="s">
        <v>128</v>
      </c>
      <c r="D545" s="492"/>
      <c r="E545" s="492"/>
      <c r="F545" s="492"/>
      <c r="G545" s="492"/>
      <c r="H545" s="493"/>
    </row>
    <row r="546" spans="1:10" ht="15.75">
      <c r="A546" s="232"/>
      <c r="B546" s="232"/>
      <c r="C546" s="232"/>
      <c r="D546" s="233"/>
      <c r="E546" s="233"/>
      <c r="F546" s="233"/>
      <c r="G546" s="233" t="s">
        <v>464</v>
      </c>
      <c r="H546" s="233"/>
    </row>
    <row r="547" spans="1:10" ht="15.75">
      <c r="A547" s="494" t="s">
        <v>465</v>
      </c>
      <c r="B547" s="495"/>
      <c r="C547" s="495"/>
      <c r="D547" s="494" t="s">
        <v>466</v>
      </c>
      <c r="E547" s="495"/>
      <c r="F547" s="496"/>
      <c r="G547" s="502" t="s">
        <v>467</v>
      </c>
      <c r="H547" s="503"/>
    </row>
    <row r="548" spans="1:10" ht="15.75">
      <c r="A548" s="494" t="s">
        <v>468</v>
      </c>
      <c r="B548" s="495"/>
      <c r="C548" s="496"/>
      <c r="D548" s="494" t="s">
        <v>469</v>
      </c>
      <c r="E548" s="496"/>
      <c r="F548" s="497" t="s">
        <v>470</v>
      </c>
      <c r="G548" s="498" t="s">
        <v>471</v>
      </c>
      <c r="H548" s="498" t="s">
        <v>472</v>
      </c>
    </row>
    <row r="549" spans="1:10" ht="47.25">
      <c r="A549" s="234" t="s">
        <v>473</v>
      </c>
      <c r="B549" s="234" t="s">
        <v>474</v>
      </c>
      <c r="C549" s="235" t="s">
        <v>475</v>
      </c>
      <c r="D549" s="234" t="s">
        <v>476</v>
      </c>
      <c r="E549" s="234" t="s">
        <v>477</v>
      </c>
      <c r="F549" s="497"/>
      <c r="G549" s="499"/>
      <c r="H549" s="499"/>
    </row>
    <row r="550" spans="1:10" ht="31.5">
      <c r="A550" s="257">
        <v>12</v>
      </c>
      <c r="B550" s="242" t="s">
        <v>723</v>
      </c>
      <c r="C550" s="237" t="s">
        <v>482</v>
      </c>
      <c r="D550" s="238">
        <v>217058.38</v>
      </c>
      <c r="E550" s="229">
        <v>207992.07</v>
      </c>
      <c r="F550" s="240">
        <f t="shared" ref="F550" si="58">IFERROR(E550/D550*100-100,)</f>
        <v>-4.1768993208186629</v>
      </c>
      <c r="G550" s="238"/>
      <c r="H550" s="241"/>
    </row>
    <row r="551" spans="1:10" ht="15.75">
      <c r="A551" s="500" t="s">
        <v>386</v>
      </c>
      <c r="B551" s="500"/>
      <c r="C551" s="500"/>
      <c r="D551" s="244">
        <f>SUM(D550:D550)</f>
        <v>217058.38</v>
      </c>
      <c r="E551" s="244">
        <f>SUM(E550:E550)</f>
        <v>207992.07</v>
      </c>
      <c r="F551" s="244">
        <f>SUM(F550:F550)</f>
        <v>-4.1768993208186629</v>
      </c>
      <c r="G551" s="244">
        <f>SUM(G550:G550)</f>
        <v>0</v>
      </c>
      <c r="H551" s="246">
        <f t="shared" ref="H551" si="59">IFERROR(G551/E551*100,)</f>
        <v>0</v>
      </c>
      <c r="I551" s="260"/>
      <c r="J551" s="260"/>
    </row>
    <row r="552" spans="1:10" ht="27" customHeight="1">
      <c r="A552" s="249"/>
      <c r="B552" s="250"/>
      <c r="C552" s="250"/>
      <c r="D552" s="250"/>
      <c r="E552" s="250"/>
      <c r="F552" s="250"/>
      <c r="G552" s="250"/>
      <c r="H552" s="251"/>
    </row>
    <row r="553" spans="1:10" ht="15.75">
      <c r="A553" s="507" t="s">
        <v>335</v>
      </c>
      <c r="B553" s="508"/>
      <c r="C553" s="508"/>
      <c r="D553" s="508"/>
      <c r="E553" s="508"/>
      <c r="F553" s="508"/>
      <c r="G553" s="508"/>
      <c r="H553" s="509"/>
    </row>
    <row r="554" spans="1:10" ht="27" customHeight="1">
      <c r="A554" s="249"/>
      <c r="B554" s="250"/>
      <c r="C554" s="250"/>
      <c r="D554" s="250"/>
      <c r="E554" s="250"/>
      <c r="F554" s="250"/>
      <c r="G554" s="250"/>
      <c r="H554" s="251"/>
    </row>
    <row r="555" spans="1:10" ht="27" customHeight="1">
      <c r="A555" s="249"/>
      <c r="B555" s="250"/>
      <c r="C555" s="250"/>
      <c r="D555" s="250"/>
      <c r="E555" s="250"/>
      <c r="F555" s="250"/>
      <c r="G555" s="250"/>
      <c r="H555" s="251"/>
    </row>
    <row r="556" spans="1:10" ht="15.75">
      <c r="A556" s="490" t="s">
        <v>463</v>
      </c>
      <c r="B556" s="491"/>
      <c r="C556" s="492" t="s">
        <v>301</v>
      </c>
      <c r="D556" s="492"/>
      <c r="E556" s="492"/>
      <c r="F556" s="492"/>
      <c r="G556" s="492"/>
      <c r="H556" s="493"/>
    </row>
    <row r="557" spans="1:10" ht="15.75">
      <c r="A557" s="491" t="s">
        <v>180</v>
      </c>
      <c r="B557" s="491"/>
      <c r="C557" s="492" t="s">
        <v>128</v>
      </c>
      <c r="D557" s="492"/>
      <c r="E557" s="492"/>
      <c r="F557" s="492"/>
      <c r="G557" s="492"/>
      <c r="H557" s="493"/>
    </row>
    <row r="558" spans="1:10" ht="27" customHeight="1">
      <c r="A558" s="249"/>
      <c r="B558" s="250"/>
      <c r="C558" s="250"/>
      <c r="D558" s="250"/>
      <c r="E558" s="250"/>
      <c r="F558" s="250"/>
      <c r="G558" s="250" t="s">
        <v>464</v>
      </c>
      <c r="H558" s="251"/>
    </row>
    <row r="559" spans="1:10" ht="15.75">
      <c r="A559" s="494" t="s">
        <v>465</v>
      </c>
      <c r="B559" s="495"/>
      <c r="C559" s="495"/>
      <c r="D559" s="494" t="s">
        <v>466</v>
      </c>
      <c r="E559" s="495"/>
      <c r="F559" s="496"/>
      <c r="G559" s="502" t="s">
        <v>467</v>
      </c>
      <c r="H559" s="503"/>
    </row>
    <row r="560" spans="1:10" ht="15.75">
      <c r="A560" s="494" t="s">
        <v>468</v>
      </c>
      <c r="B560" s="495"/>
      <c r="C560" s="496"/>
      <c r="D560" s="494" t="s">
        <v>469</v>
      </c>
      <c r="E560" s="496"/>
      <c r="F560" s="497" t="s">
        <v>470</v>
      </c>
      <c r="G560" s="498" t="s">
        <v>471</v>
      </c>
      <c r="H560" s="498" t="s">
        <v>472</v>
      </c>
    </row>
    <row r="561" spans="1:10" ht="47.25">
      <c r="A561" s="234" t="s">
        <v>473</v>
      </c>
      <c r="B561" s="234" t="s">
        <v>474</v>
      </c>
      <c r="C561" s="235" t="s">
        <v>475</v>
      </c>
      <c r="D561" s="234" t="s">
        <v>476</v>
      </c>
      <c r="E561" s="234" t="s">
        <v>477</v>
      </c>
      <c r="F561" s="497"/>
      <c r="G561" s="499"/>
      <c r="H561" s="499"/>
    </row>
    <row r="562" spans="1:10" ht="47.25">
      <c r="A562" s="257">
        <v>12</v>
      </c>
      <c r="B562" s="242" t="s">
        <v>724</v>
      </c>
      <c r="C562" s="237" t="s">
        <v>482</v>
      </c>
      <c r="D562" s="238">
        <v>80000</v>
      </c>
      <c r="E562" s="229">
        <v>30000</v>
      </c>
      <c r="F562" s="240">
        <f t="shared" ref="F562" si="60">IFERROR(E562/D562*100-100,)</f>
        <v>-62.5</v>
      </c>
      <c r="G562" s="238"/>
      <c r="H562" s="241"/>
    </row>
    <row r="563" spans="1:10" ht="15.75">
      <c r="A563" s="500" t="s">
        <v>386</v>
      </c>
      <c r="B563" s="500"/>
      <c r="C563" s="500"/>
      <c r="D563" s="244">
        <f>SUM(D562:D562)</f>
        <v>80000</v>
      </c>
      <c r="E563" s="244">
        <f>SUM(E562:E562)</f>
        <v>30000</v>
      </c>
      <c r="F563" s="244">
        <f>SUM(F562:F562)</f>
        <v>-62.5</v>
      </c>
      <c r="G563" s="244">
        <f>SUM(G562:G562)</f>
        <v>0</v>
      </c>
      <c r="H563" s="246">
        <f t="shared" ref="H563" si="61">IFERROR(G563/E563*100,)</f>
        <v>0</v>
      </c>
      <c r="I563" s="260"/>
      <c r="J563" s="260"/>
    </row>
    <row r="564" spans="1:10" ht="27" customHeight="1">
      <c r="A564" s="249"/>
      <c r="B564" s="250"/>
      <c r="C564" s="250"/>
      <c r="D564" s="250"/>
      <c r="E564" s="250"/>
      <c r="F564" s="250"/>
      <c r="G564" s="250"/>
      <c r="H564" s="251"/>
    </row>
    <row r="565" spans="1:10" ht="15.75">
      <c r="A565" s="507" t="s">
        <v>335</v>
      </c>
      <c r="B565" s="508"/>
      <c r="C565" s="508"/>
      <c r="D565" s="508"/>
      <c r="E565" s="508"/>
      <c r="F565" s="508"/>
      <c r="G565" s="508"/>
      <c r="H565" s="509"/>
    </row>
    <row r="566" spans="1:10" ht="27" customHeight="1">
      <c r="A566" s="249"/>
      <c r="B566" s="250"/>
      <c r="C566" s="250"/>
      <c r="D566" s="250"/>
      <c r="E566" s="250"/>
      <c r="F566" s="250"/>
      <c r="G566" s="250"/>
      <c r="H566" s="251"/>
    </row>
    <row r="567" spans="1:10" ht="27" customHeight="1">
      <c r="A567" s="249"/>
      <c r="B567" s="250"/>
      <c r="C567" s="250"/>
      <c r="D567" s="250"/>
      <c r="E567" s="250"/>
      <c r="F567" s="250"/>
      <c r="G567" s="250"/>
      <c r="H567" s="251"/>
    </row>
    <row r="568" spans="1:10" ht="15.75">
      <c r="A568" s="490" t="s">
        <v>463</v>
      </c>
      <c r="B568" s="491"/>
      <c r="C568" s="492" t="s">
        <v>304</v>
      </c>
      <c r="D568" s="492"/>
      <c r="E568" s="492"/>
      <c r="F568" s="492"/>
      <c r="G568" s="492"/>
      <c r="H568" s="493"/>
    </row>
    <row r="569" spans="1:10" ht="15.75">
      <c r="A569" s="491" t="s">
        <v>180</v>
      </c>
      <c r="B569" s="491"/>
      <c r="C569" s="492" t="s">
        <v>128</v>
      </c>
      <c r="D569" s="492"/>
      <c r="E569" s="492"/>
      <c r="F569" s="492"/>
      <c r="G569" s="492"/>
      <c r="H569" s="493"/>
    </row>
    <row r="570" spans="1:10" ht="27" customHeight="1">
      <c r="A570" s="249"/>
      <c r="B570" s="250"/>
      <c r="C570" s="250"/>
      <c r="D570" s="250"/>
      <c r="E570" s="250"/>
      <c r="F570" s="250"/>
      <c r="G570" s="250" t="s">
        <v>464</v>
      </c>
      <c r="H570" s="251"/>
    </row>
    <row r="571" spans="1:10" ht="15.75">
      <c r="A571" s="494" t="s">
        <v>465</v>
      </c>
      <c r="B571" s="495"/>
      <c r="C571" s="495"/>
      <c r="D571" s="494" t="s">
        <v>466</v>
      </c>
      <c r="E571" s="495"/>
      <c r="F571" s="496"/>
      <c r="G571" s="502" t="s">
        <v>467</v>
      </c>
      <c r="H571" s="503"/>
    </row>
    <row r="572" spans="1:10" ht="15.75">
      <c r="A572" s="494" t="s">
        <v>468</v>
      </c>
      <c r="B572" s="495"/>
      <c r="C572" s="496"/>
      <c r="D572" s="494" t="s">
        <v>469</v>
      </c>
      <c r="E572" s="496"/>
      <c r="F572" s="497" t="s">
        <v>470</v>
      </c>
      <c r="G572" s="498" t="s">
        <v>471</v>
      </c>
      <c r="H572" s="498" t="s">
        <v>472</v>
      </c>
    </row>
    <row r="573" spans="1:10" ht="47.25">
      <c r="A573" s="234" t="s">
        <v>473</v>
      </c>
      <c r="B573" s="234" t="s">
        <v>474</v>
      </c>
      <c r="C573" s="235" t="s">
        <v>475</v>
      </c>
      <c r="D573" s="234" t="s">
        <v>476</v>
      </c>
      <c r="E573" s="234" t="s">
        <v>477</v>
      </c>
      <c r="F573" s="497"/>
      <c r="G573" s="499"/>
      <c r="H573" s="499"/>
    </row>
    <row r="574" spans="1:10" ht="47.25">
      <c r="A574" s="265">
        <v>1</v>
      </c>
      <c r="B574" s="242" t="s">
        <v>725</v>
      </c>
      <c r="C574" s="228" t="s">
        <v>482</v>
      </c>
      <c r="D574" s="229">
        <v>1134313.2700144444</v>
      </c>
      <c r="E574" s="229">
        <v>1304413.512426018</v>
      </c>
      <c r="F574" s="240">
        <f t="shared" ref="F574:F581" si="62">IFERROR(E574/D574*100-100,)</f>
        <v>14.995878731931583</v>
      </c>
      <c r="G574" s="238"/>
      <c r="H574" s="241"/>
    </row>
    <row r="575" spans="1:10" ht="63">
      <c r="A575" s="265">
        <v>1</v>
      </c>
      <c r="B575" s="242" t="s">
        <v>726</v>
      </c>
      <c r="C575" s="228" t="s">
        <v>482</v>
      </c>
      <c r="D575" s="229">
        <v>51944.14</v>
      </c>
      <c r="E575" s="229">
        <v>70000</v>
      </c>
      <c r="F575" s="240">
        <f t="shared" si="62"/>
        <v>34.760148112953658</v>
      </c>
      <c r="G575" s="238"/>
      <c r="H575" s="241"/>
    </row>
    <row r="576" spans="1:10" ht="110.25">
      <c r="A576" s="265">
        <v>1</v>
      </c>
      <c r="B576" s="242" t="s">
        <v>727</v>
      </c>
      <c r="C576" s="228" t="s">
        <v>482</v>
      </c>
      <c r="D576" s="229">
        <v>565483.40012361202</v>
      </c>
      <c r="E576" s="229">
        <v>665457.54</v>
      </c>
      <c r="F576" s="240">
        <f t="shared" si="62"/>
        <v>17.679411960551647</v>
      </c>
      <c r="G576" s="238"/>
      <c r="H576" s="241"/>
    </row>
    <row r="577" spans="1:12" ht="47.25">
      <c r="A577" s="265">
        <v>1</v>
      </c>
      <c r="B577" s="242" t="s">
        <v>728</v>
      </c>
      <c r="C577" s="228" t="s">
        <v>482</v>
      </c>
      <c r="D577" s="229">
        <v>346995.52600000001</v>
      </c>
      <c r="E577" s="229">
        <v>262746.79980759864</v>
      </c>
      <c r="F577" s="240">
        <f t="shared" si="62"/>
        <v>-24.279484857796518</v>
      </c>
      <c r="G577" s="238"/>
      <c r="H577" s="241"/>
    </row>
    <row r="578" spans="1:12" ht="31.5">
      <c r="A578" s="265">
        <v>1</v>
      </c>
      <c r="B578" s="242" t="s">
        <v>729</v>
      </c>
      <c r="C578" s="228" t="s">
        <v>482</v>
      </c>
      <c r="D578" s="229">
        <v>63305.9</v>
      </c>
      <c r="E578" s="229">
        <v>40000</v>
      </c>
      <c r="F578" s="240">
        <f t="shared" si="62"/>
        <v>-36.814736067254394</v>
      </c>
      <c r="G578" s="238"/>
      <c r="H578" s="241"/>
    </row>
    <row r="579" spans="1:12" ht="78.75">
      <c r="A579" s="267">
        <v>5</v>
      </c>
      <c r="B579" s="242" t="s">
        <v>730</v>
      </c>
      <c r="C579" s="228" t="s">
        <v>482</v>
      </c>
      <c r="D579" s="229">
        <v>6000</v>
      </c>
      <c r="E579" s="229">
        <v>0</v>
      </c>
      <c r="F579" s="240">
        <f t="shared" si="62"/>
        <v>-100</v>
      </c>
      <c r="G579" s="238"/>
      <c r="H579" s="241"/>
    </row>
    <row r="580" spans="1:12" ht="47.25">
      <c r="A580" s="267">
        <v>5</v>
      </c>
      <c r="B580" s="243" t="s">
        <v>731</v>
      </c>
      <c r="C580" s="228" t="s">
        <v>482</v>
      </c>
      <c r="D580" s="229"/>
      <c r="E580" s="229"/>
      <c r="F580" s="240">
        <f t="shared" si="62"/>
        <v>0</v>
      </c>
      <c r="G580" s="238"/>
      <c r="H580" s="241"/>
    </row>
    <row r="581" spans="1:12" ht="78.75">
      <c r="A581" s="267">
        <v>1</v>
      </c>
      <c r="B581" s="242" t="s">
        <v>732</v>
      </c>
      <c r="C581" s="228" t="s">
        <v>482</v>
      </c>
      <c r="D581" s="229">
        <v>0</v>
      </c>
      <c r="E581" s="229"/>
      <c r="F581" s="240">
        <f t="shared" si="62"/>
        <v>0</v>
      </c>
      <c r="G581" s="238"/>
      <c r="H581" s="241"/>
    </row>
    <row r="582" spans="1:12" ht="15.75">
      <c r="A582" s="500" t="s">
        <v>386</v>
      </c>
      <c r="B582" s="500"/>
      <c r="C582" s="500"/>
      <c r="D582" s="244">
        <f>SUM(D574:D581)</f>
        <v>2168042.236138056</v>
      </c>
      <c r="E582" s="244">
        <f>SUM(E574:E581)</f>
        <v>2342617.8522336166</v>
      </c>
      <c r="F582" s="244">
        <f>SUM(F581:F581)</f>
        <v>0</v>
      </c>
      <c r="G582" s="244">
        <f>SUM(G574:G581)</f>
        <v>0</v>
      </c>
      <c r="H582" s="246">
        <f t="shared" ref="H582" si="63">IFERROR(G582/E582*100,)</f>
        <v>0</v>
      </c>
      <c r="I582" s="260"/>
      <c r="J582" s="260"/>
      <c r="L582" s="28"/>
    </row>
    <row r="583" spans="1:12" ht="27" customHeight="1">
      <c r="A583" s="249"/>
      <c r="B583" s="250"/>
      <c r="C583" s="250"/>
      <c r="D583" s="250"/>
      <c r="E583" s="250"/>
      <c r="F583" s="250"/>
      <c r="G583" s="250"/>
      <c r="H583" s="251"/>
    </row>
    <row r="584" spans="1:12" ht="15.75">
      <c r="A584" s="507" t="s">
        <v>335</v>
      </c>
      <c r="B584" s="508"/>
      <c r="C584" s="508"/>
      <c r="D584" s="508"/>
      <c r="E584" s="508"/>
      <c r="F584" s="508"/>
      <c r="G584" s="508"/>
      <c r="H584" s="509"/>
    </row>
    <row r="585" spans="1:12" ht="27" customHeight="1">
      <c r="A585" s="249"/>
      <c r="B585" s="250"/>
      <c r="C585" s="250"/>
      <c r="D585" s="250"/>
      <c r="E585" s="250"/>
      <c r="F585" s="250"/>
      <c r="G585" s="250"/>
      <c r="H585" s="251"/>
    </row>
    <row r="586" spans="1:12" ht="27" customHeight="1">
      <c r="A586" s="249"/>
      <c r="B586" s="250"/>
      <c r="C586" s="250"/>
      <c r="D586" s="250"/>
      <c r="E586" s="250"/>
      <c r="F586" s="250"/>
      <c r="G586" s="250"/>
      <c r="H586" s="251"/>
    </row>
    <row r="587" spans="1:12" ht="15.75">
      <c r="A587" s="490" t="s">
        <v>463</v>
      </c>
      <c r="B587" s="491"/>
      <c r="C587" s="492" t="s">
        <v>308</v>
      </c>
      <c r="D587" s="492"/>
      <c r="E587" s="492"/>
      <c r="F587" s="492"/>
      <c r="G587" s="492"/>
      <c r="H587" s="493"/>
    </row>
    <row r="588" spans="1:12" ht="15.75">
      <c r="A588" s="491" t="s">
        <v>180</v>
      </c>
      <c r="B588" s="491"/>
      <c r="C588" s="492" t="s">
        <v>145</v>
      </c>
      <c r="D588" s="492"/>
      <c r="E588" s="492"/>
      <c r="F588" s="492"/>
      <c r="G588" s="492"/>
      <c r="H588" s="493"/>
    </row>
    <row r="589" spans="1:12" ht="27" customHeight="1">
      <c r="A589" s="249"/>
      <c r="B589" s="250"/>
      <c r="C589" s="250"/>
      <c r="D589" s="250"/>
      <c r="E589" s="250"/>
      <c r="F589" s="250"/>
      <c r="G589" s="250" t="s">
        <v>464</v>
      </c>
      <c r="H589" s="251"/>
    </row>
    <row r="590" spans="1:12" ht="15.75">
      <c r="A590" s="494" t="s">
        <v>465</v>
      </c>
      <c r="B590" s="495"/>
      <c r="C590" s="495"/>
      <c r="D590" s="494" t="s">
        <v>466</v>
      </c>
      <c r="E590" s="495"/>
      <c r="F590" s="496"/>
      <c r="G590" s="502" t="s">
        <v>467</v>
      </c>
      <c r="H590" s="503"/>
    </row>
    <row r="591" spans="1:12" ht="15.75">
      <c r="A591" s="494" t="s">
        <v>468</v>
      </c>
      <c r="B591" s="495"/>
      <c r="C591" s="496"/>
      <c r="D591" s="494" t="s">
        <v>469</v>
      </c>
      <c r="E591" s="496"/>
      <c r="F591" s="497" t="s">
        <v>470</v>
      </c>
      <c r="G591" s="498" t="s">
        <v>471</v>
      </c>
      <c r="H591" s="498" t="s">
        <v>472</v>
      </c>
    </row>
    <row r="592" spans="1:12" ht="47.25">
      <c r="A592" s="234" t="s">
        <v>473</v>
      </c>
      <c r="B592" s="234" t="s">
        <v>474</v>
      </c>
      <c r="C592" s="235" t="s">
        <v>475</v>
      </c>
      <c r="D592" s="234" t="s">
        <v>476</v>
      </c>
      <c r="E592" s="234" t="s">
        <v>477</v>
      </c>
      <c r="F592" s="497"/>
      <c r="G592" s="499"/>
      <c r="H592" s="499"/>
    </row>
    <row r="593" spans="1:12" ht="157.5">
      <c r="A593" s="271">
        <v>1</v>
      </c>
      <c r="B593" s="242" t="s">
        <v>733</v>
      </c>
      <c r="C593" s="228" t="s">
        <v>482</v>
      </c>
      <c r="D593" s="229">
        <v>324029.42867027776</v>
      </c>
      <c r="E593" s="229">
        <v>453799.56025126675</v>
      </c>
      <c r="F593" s="240">
        <f t="shared" ref="F593:F602" si="64">IFERROR(E593/D593*100-100,)</f>
        <v>40.04887213903001</v>
      </c>
      <c r="G593" s="238"/>
      <c r="H593" s="241"/>
    </row>
    <row r="594" spans="1:12" ht="110.25">
      <c r="A594" s="271">
        <v>1</v>
      </c>
      <c r="B594" s="242" t="s">
        <v>734</v>
      </c>
      <c r="C594" s="228" t="s">
        <v>482</v>
      </c>
      <c r="D594" s="229">
        <v>15309.99</v>
      </c>
      <c r="E594" s="229">
        <v>25000</v>
      </c>
      <c r="F594" s="240">
        <f t="shared" si="64"/>
        <v>63.292072692405412</v>
      </c>
      <c r="G594" s="238"/>
      <c r="H594" s="241"/>
    </row>
    <row r="595" spans="1:12" ht="47.25">
      <c r="A595" s="267">
        <v>1</v>
      </c>
      <c r="B595" s="242" t="s">
        <v>735</v>
      </c>
      <c r="C595" s="228" t="s">
        <v>482</v>
      </c>
      <c r="D595" s="229">
        <v>0</v>
      </c>
      <c r="E595" s="229">
        <v>0</v>
      </c>
      <c r="F595" s="240">
        <f t="shared" si="64"/>
        <v>0</v>
      </c>
      <c r="G595" s="238"/>
      <c r="H595" s="241"/>
    </row>
    <row r="596" spans="1:12" ht="31.5">
      <c r="A596" s="267">
        <v>1</v>
      </c>
      <c r="B596" s="243" t="s">
        <v>736</v>
      </c>
      <c r="C596" s="228" t="s">
        <v>482</v>
      </c>
      <c r="D596" s="229">
        <v>20000</v>
      </c>
      <c r="E596" s="229">
        <v>0</v>
      </c>
      <c r="F596" s="240">
        <f t="shared" si="64"/>
        <v>-100</v>
      </c>
      <c r="G596" s="238"/>
      <c r="H596" s="241"/>
    </row>
    <row r="597" spans="1:12" ht="15.75">
      <c r="A597" s="267">
        <v>1</v>
      </c>
      <c r="B597" s="243" t="s">
        <v>737</v>
      </c>
      <c r="C597" s="228" t="s">
        <v>482</v>
      </c>
      <c r="D597" s="229">
        <v>0</v>
      </c>
      <c r="E597" s="229">
        <v>0</v>
      </c>
      <c r="F597" s="240">
        <f t="shared" si="64"/>
        <v>0</v>
      </c>
      <c r="G597" s="238"/>
      <c r="H597" s="241"/>
    </row>
    <row r="598" spans="1:12" ht="47.25">
      <c r="A598" s="267">
        <v>1</v>
      </c>
      <c r="B598" s="242" t="s">
        <v>738</v>
      </c>
      <c r="C598" s="228" t="s">
        <v>561</v>
      </c>
      <c r="D598" s="229">
        <v>0</v>
      </c>
      <c r="E598" s="229">
        <v>0</v>
      </c>
      <c r="F598" s="240">
        <f t="shared" si="64"/>
        <v>0</v>
      </c>
      <c r="G598" s="238"/>
      <c r="H598" s="241"/>
    </row>
    <row r="599" spans="1:12" ht="31.5">
      <c r="A599" s="267">
        <v>1</v>
      </c>
      <c r="B599" s="243" t="s">
        <v>739</v>
      </c>
      <c r="C599" s="228" t="s">
        <v>482</v>
      </c>
      <c r="D599" s="229">
        <v>0</v>
      </c>
      <c r="E599" s="229">
        <v>0</v>
      </c>
      <c r="F599" s="240">
        <f t="shared" si="64"/>
        <v>0</v>
      </c>
      <c r="G599" s="238"/>
      <c r="H599" s="241"/>
    </row>
    <row r="600" spans="1:12" ht="63">
      <c r="A600" s="267">
        <v>1</v>
      </c>
      <c r="B600" s="242" t="s">
        <v>740</v>
      </c>
      <c r="C600" s="228" t="s">
        <v>482</v>
      </c>
      <c r="D600" s="229">
        <v>0</v>
      </c>
      <c r="E600" s="229">
        <v>0</v>
      </c>
      <c r="F600" s="240">
        <f t="shared" si="64"/>
        <v>0</v>
      </c>
      <c r="G600" s="238"/>
      <c r="H600" s="241"/>
    </row>
    <row r="601" spans="1:12" ht="31.5">
      <c r="A601" s="267">
        <v>1</v>
      </c>
      <c r="B601" s="242" t="s">
        <v>741</v>
      </c>
      <c r="C601" s="228" t="s">
        <v>554</v>
      </c>
      <c r="D601" s="229">
        <v>0</v>
      </c>
      <c r="E601" s="229">
        <v>0</v>
      </c>
      <c r="F601" s="240">
        <f t="shared" si="64"/>
        <v>0</v>
      </c>
      <c r="G601" s="238"/>
      <c r="H601" s="241"/>
    </row>
    <row r="602" spans="1:12" ht="15.75">
      <c r="A602" s="267">
        <v>6</v>
      </c>
      <c r="B602" s="242" t="s">
        <v>742</v>
      </c>
      <c r="C602" s="228" t="s">
        <v>482</v>
      </c>
      <c r="D602" s="229"/>
      <c r="E602" s="229">
        <v>0</v>
      </c>
      <c r="F602" s="240">
        <f t="shared" si="64"/>
        <v>0</v>
      </c>
      <c r="G602" s="238"/>
      <c r="H602" s="241"/>
    </row>
    <row r="603" spans="1:12" ht="15.75">
      <c r="A603" s="500" t="s">
        <v>386</v>
      </c>
      <c r="B603" s="500"/>
      <c r="C603" s="500"/>
      <c r="D603" s="244">
        <f>SUM(D593:D602)</f>
        <v>359339.41867027775</v>
      </c>
      <c r="E603" s="244">
        <f>SUM(E593:E602)</f>
        <v>478799.56025126675</v>
      </c>
      <c r="F603" s="245">
        <f>SUM(F593:F602)</f>
        <v>3.3409448314354222</v>
      </c>
      <c r="G603" s="244">
        <f>SUM(G593:G602)</f>
        <v>0</v>
      </c>
      <c r="H603" s="246">
        <f t="shared" ref="H603" si="65">IFERROR(G603/E603*100,)</f>
        <v>0</v>
      </c>
      <c r="I603" s="260"/>
      <c r="J603" s="260"/>
      <c r="L603" s="28"/>
    </row>
    <row r="604" spans="1:12" ht="27" customHeight="1">
      <c r="A604" s="249"/>
      <c r="B604" s="250"/>
      <c r="C604" s="250"/>
      <c r="D604" s="250"/>
      <c r="E604" s="250"/>
      <c r="F604" s="250"/>
      <c r="G604" s="250"/>
      <c r="H604" s="251"/>
    </row>
    <row r="605" spans="1:12" ht="15.75" customHeight="1">
      <c r="A605" s="507" t="s">
        <v>335</v>
      </c>
      <c r="B605" s="508"/>
      <c r="C605" s="508"/>
      <c r="D605" s="508"/>
      <c r="E605" s="508"/>
      <c r="F605" s="508"/>
      <c r="G605" s="508"/>
      <c r="H605" s="509"/>
    </row>
    <row r="606" spans="1:12" ht="27" customHeight="1">
      <c r="A606" s="249"/>
      <c r="B606" s="250"/>
      <c r="C606" s="250"/>
      <c r="D606" s="250"/>
      <c r="E606" s="250"/>
      <c r="F606" s="250"/>
      <c r="G606" s="250"/>
      <c r="H606" s="251"/>
    </row>
    <row r="607" spans="1:12" ht="27" customHeight="1">
      <c r="A607" s="249"/>
      <c r="B607" s="250"/>
      <c r="C607" s="250"/>
      <c r="D607" s="250"/>
      <c r="E607" s="250"/>
      <c r="F607" s="250"/>
      <c r="G607" s="250"/>
      <c r="H607" s="251"/>
    </row>
    <row r="608" spans="1:12" ht="15.75" customHeight="1">
      <c r="A608" s="490" t="s">
        <v>463</v>
      </c>
      <c r="B608" s="491"/>
      <c r="C608" s="492" t="s">
        <v>311</v>
      </c>
      <c r="D608" s="492"/>
      <c r="E608" s="492"/>
      <c r="F608" s="492"/>
      <c r="G608" s="492"/>
      <c r="H608" s="493"/>
    </row>
    <row r="609" spans="1:12" ht="15.75">
      <c r="A609" s="491" t="s">
        <v>180</v>
      </c>
      <c r="B609" s="491"/>
      <c r="C609" s="492" t="s">
        <v>98</v>
      </c>
      <c r="D609" s="492"/>
      <c r="E609" s="492"/>
      <c r="F609" s="492"/>
      <c r="G609" s="492"/>
      <c r="H609" s="493"/>
    </row>
    <row r="610" spans="1:12" ht="27" customHeight="1">
      <c r="A610" s="249"/>
      <c r="B610" s="250"/>
      <c r="C610" s="250"/>
      <c r="D610" s="250"/>
      <c r="E610" s="250"/>
      <c r="F610" s="250"/>
      <c r="G610" s="250" t="s">
        <v>464</v>
      </c>
      <c r="H610" s="251"/>
    </row>
    <row r="611" spans="1:12" ht="15.75">
      <c r="A611" s="494" t="s">
        <v>465</v>
      </c>
      <c r="B611" s="495"/>
      <c r="C611" s="495"/>
      <c r="D611" s="494" t="s">
        <v>466</v>
      </c>
      <c r="E611" s="495"/>
      <c r="F611" s="496"/>
      <c r="G611" s="502" t="s">
        <v>467</v>
      </c>
      <c r="H611" s="503"/>
    </row>
    <row r="612" spans="1:12" ht="15.75">
      <c r="A612" s="494" t="s">
        <v>468</v>
      </c>
      <c r="B612" s="495"/>
      <c r="C612" s="496"/>
      <c r="D612" s="494" t="s">
        <v>469</v>
      </c>
      <c r="E612" s="496"/>
      <c r="F612" s="497" t="s">
        <v>470</v>
      </c>
      <c r="G612" s="498" t="s">
        <v>471</v>
      </c>
      <c r="H612" s="498" t="s">
        <v>472</v>
      </c>
    </row>
    <row r="613" spans="1:12" ht="47.25">
      <c r="A613" s="234" t="s">
        <v>473</v>
      </c>
      <c r="B613" s="234" t="s">
        <v>474</v>
      </c>
      <c r="C613" s="235" t="s">
        <v>475</v>
      </c>
      <c r="D613" s="234" t="s">
        <v>476</v>
      </c>
      <c r="E613" s="234" t="s">
        <v>477</v>
      </c>
      <c r="F613" s="497"/>
      <c r="G613" s="499"/>
      <c r="H613" s="499"/>
    </row>
    <row r="614" spans="1:12" ht="63">
      <c r="A614" s="248">
        <v>1</v>
      </c>
      <c r="B614" s="242" t="s">
        <v>743</v>
      </c>
      <c r="C614" s="237" t="s">
        <v>482</v>
      </c>
      <c r="D614" s="238">
        <v>52717.967299999997</v>
      </c>
      <c r="E614" s="238">
        <v>58098.271029066666</v>
      </c>
      <c r="F614" s="240">
        <f t="shared" ref="F614:F617" si="66">IFERROR(E614/D614*100-100,)</f>
        <v>10.205825460699572</v>
      </c>
      <c r="G614" s="238"/>
      <c r="H614" s="241"/>
    </row>
    <row r="615" spans="1:12" ht="63">
      <c r="A615" s="248">
        <v>1</v>
      </c>
      <c r="B615" s="242" t="s">
        <v>726</v>
      </c>
      <c r="C615" s="237" t="s">
        <v>482</v>
      </c>
      <c r="D615" s="238">
        <v>1220</v>
      </c>
      <c r="E615" s="238">
        <v>1000</v>
      </c>
      <c r="F615" s="240">
        <f t="shared" si="66"/>
        <v>-18.032786885245898</v>
      </c>
      <c r="G615" s="238"/>
      <c r="H615" s="241"/>
    </row>
    <row r="616" spans="1:12" ht="110.25">
      <c r="A616" s="248">
        <v>1</v>
      </c>
      <c r="B616" s="242" t="s">
        <v>744</v>
      </c>
      <c r="C616" s="237" t="s">
        <v>482</v>
      </c>
      <c r="D616" s="238">
        <v>65880.422000000006</v>
      </c>
      <c r="E616" s="238">
        <v>82592.831999999995</v>
      </c>
      <c r="F616" s="240">
        <f t="shared" si="66"/>
        <v>25.367794395731096</v>
      </c>
      <c r="G616" s="238"/>
      <c r="H616" s="241"/>
    </row>
    <row r="617" spans="1:12" ht="47.25">
      <c r="A617" s="248">
        <v>1</v>
      </c>
      <c r="B617" s="242" t="s">
        <v>745</v>
      </c>
      <c r="C617" s="237" t="s">
        <v>482</v>
      </c>
      <c r="D617" s="238">
        <v>160</v>
      </c>
      <c r="E617" s="238">
        <v>160</v>
      </c>
      <c r="F617" s="240">
        <f t="shared" si="66"/>
        <v>0</v>
      </c>
      <c r="G617" s="238"/>
      <c r="H617" s="241"/>
    </row>
    <row r="618" spans="1:12" ht="15.75">
      <c r="A618" s="500" t="s">
        <v>386</v>
      </c>
      <c r="B618" s="500"/>
      <c r="C618" s="500"/>
      <c r="D618" s="244">
        <f>SUM(D614:D617)</f>
        <v>119978.38930000001</v>
      </c>
      <c r="E618" s="244">
        <f>SUM(E614:E617)</f>
        <v>141851.10302906667</v>
      </c>
      <c r="F618" s="245">
        <f>SUM(F614:F617)</f>
        <v>17.54083297118477</v>
      </c>
      <c r="G618" s="244">
        <f>SUM(G614:G617)</f>
        <v>0</v>
      </c>
      <c r="H618" s="246">
        <f t="shared" ref="H618" si="67">IFERROR(G618/E618*100,)</f>
        <v>0</v>
      </c>
      <c r="I618" s="260"/>
      <c r="J618" s="260"/>
      <c r="L618" s="28"/>
    </row>
    <row r="619" spans="1:12" ht="27" customHeight="1">
      <c r="A619" s="249"/>
      <c r="B619" s="250"/>
      <c r="C619" s="250"/>
      <c r="D619" s="250"/>
      <c r="E619" s="250"/>
      <c r="F619" s="250"/>
      <c r="G619" s="250"/>
      <c r="H619" s="251"/>
    </row>
    <row r="620" spans="1:12" ht="15.75">
      <c r="A620" s="507" t="s">
        <v>335</v>
      </c>
      <c r="B620" s="508"/>
      <c r="C620" s="508"/>
      <c r="D620" s="508"/>
      <c r="E620" s="508"/>
      <c r="F620" s="508"/>
      <c r="G620" s="508"/>
      <c r="H620" s="509"/>
    </row>
    <row r="621" spans="1:12" ht="27" customHeight="1">
      <c r="A621" s="249"/>
      <c r="B621" s="250"/>
      <c r="C621" s="250"/>
      <c r="D621" s="250"/>
      <c r="E621" s="250"/>
      <c r="F621" s="250"/>
      <c r="G621" s="250"/>
      <c r="H621" s="251"/>
    </row>
    <row r="622" spans="1:12" ht="27" customHeight="1">
      <c r="A622" s="249"/>
      <c r="B622" s="250"/>
      <c r="C622" s="250"/>
      <c r="D622" s="250"/>
      <c r="E622" s="250"/>
      <c r="F622" s="250"/>
      <c r="G622" s="250"/>
      <c r="H622" s="251"/>
    </row>
    <row r="623" spans="1:12" ht="15.75">
      <c r="A623" s="490" t="s">
        <v>463</v>
      </c>
      <c r="B623" s="491"/>
      <c r="C623" s="492" t="s">
        <v>315</v>
      </c>
      <c r="D623" s="492"/>
      <c r="E623" s="492"/>
      <c r="F623" s="492"/>
      <c r="G623" s="492"/>
      <c r="H623" s="493"/>
    </row>
    <row r="624" spans="1:12" ht="15.75">
      <c r="A624" s="491" t="s">
        <v>180</v>
      </c>
      <c r="B624" s="491"/>
      <c r="C624" s="492" t="s">
        <v>98</v>
      </c>
      <c r="D624" s="492"/>
      <c r="E624" s="492"/>
      <c r="F624" s="492"/>
      <c r="G624" s="492"/>
      <c r="H624" s="493"/>
    </row>
    <row r="625" spans="1:12" ht="27" customHeight="1">
      <c r="A625" s="249"/>
      <c r="B625" s="250"/>
      <c r="C625" s="250"/>
      <c r="D625" s="250"/>
      <c r="E625" s="250"/>
      <c r="F625" s="250"/>
      <c r="G625" s="250" t="s">
        <v>464</v>
      </c>
      <c r="H625" s="251"/>
    </row>
    <row r="626" spans="1:12" ht="15.75">
      <c r="A626" s="494" t="s">
        <v>465</v>
      </c>
      <c r="B626" s="495"/>
      <c r="C626" s="495"/>
      <c r="D626" s="494" t="s">
        <v>466</v>
      </c>
      <c r="E626" s="495"/>
      <c r="F626" s="496"/>
      <c r="G626" s="502" t="s">
        <v>467</v>
      </c>
      <c r="H626" s="503"/>
    </row>
    <row r="627" spans="1:12" ht="15.75">
      <c r="A627" s="494" t="s">
        <v>468</v>
      </c>
      <c r="B627" s="495"/>
      <c r="C627" s="496"/>
      <c r="D627" s="494" t="s">
        <v>469</v>
      </c>
      <c r="E627" s="496"/>
      <c r="F627" s="497" t="s">
        <v>470</v>
      </c>
      <c r="G627" s="498" t="s">
        <v>471</v>
      </c>
      <c r="H627" s="498" t="s">
        <v>472</v>
      </c>
    </row>
    <row r="628" spans="1:12" ht="47.25">
      <c r="A628" s="234" t="s">
        <v>473</v>
      </c>
      <c r="B628" s="234" t="s">
        <v>474</v>
      </c>
      <c r="C628" s="235" t="s">
        <v>475</v>
      </c>
      <c r="D628" s="234" t="s">
        <v>476</v>
      </c>
      <c r="E628" s="234" t="s">
        <v>477</v>
      </c>
      <c r="F628" s="497"/>
      <c r="G628" s="499"/>
      <c r="H628" s="499"/>
    </row>
    <row r="629" spans="1:12" ht="63">
      <c r="A629" s="248">
        <v>1</v>
      </c>
      <c r="B629" s="242" t="s">
        <v>743</v>
      </c>
      <c r="C629" s="237" t="s">
        <v>482</v>
      </c>
      <c r="D629" s="238">
        <v>65732.957410000003</v>
      </c>
      <c r="E629" s="238">
        <v>73719.227417044443</v>
      </c>
      <c r="F629" s="240">
        <f t="shared" ref="F629:F632" si="68">IFERROR(E629/D629*100-100,)</f>
        <v>12.149567464660407</v>
      </c>
      <c r="G629" s="238"/>
      <c r="H629" s="241"/>
    </row>
    <row r="630" spans="1:12" ht="63">
      <c r="A630" s="248">
        <v>1</v>
      </c>
      <c r="B630" s="242" t="s">
        <v>726</v>
      </c>
      <c r="C630" s="237" t="s">
        <v>482</v>
      </c>
      <c r="D630" s="238">
        <v>1200</v>
      </c>
      <c r="E630" s="238">
        <v>1000</v>
      </c>
      <c r="F630" s="240">
        <f t="shared" si="68"/>
        <v>-16.666666666666657</v>
      </c>
      <c r="G630" s="238"/>
      <c r="H630" s="241"/>
    </row>
    <row r="631" spans="1:12" ht="110.25">
      <c r="A631" s="248">
        <v>1</v>
      </c>
      <c r="B631" s="242" t="s">
        <v>744</v>
      </c>
      <c r="C631" s="237" t="s">
        <v>482</v>
      </c>
      <c r="D631" s="238">
        <v>72861.90399999998</v>
      </c>
      <c r="E631" s="238">
        <v>92501.967999999993</v>
      </c>
      <c r="F631" s="240">
        <f t="shared" si="68"/>
        <v>26.955189093054742</v>
      </c>
      <c r="G631" s="238"/>
      <c r="H631" s="241"/>
    </row>
    <row r="632" spans="1:12" ht="47.25">
      <c r="A632" s="248">
        <v>1</v>
      </c>
      <c r="B632" s="242" t="s">
        <v>745</v>
      </c>
      <c r="C632" s="237" t="s">
        <v>482</v>
      </c>
      <c r="D632" s="238">
        <v>160</v>
      </c>
      <c r="E632" s="238">
        <v>160</v>
      </c>
      <c r="F632" s="240">
        <f t="shared" si="68"/>
        <v>0</v>
      </c>
      <c r="G632" s="238"/>
      <c r="H632" s="241"/>
    </row>
    <row r="633" spans="1:12" ht="15.75">
      <c r="A633" s="500" t="s">
        <v>386</v>
      </c>
      <c r="B633" s="500"/>
      <c r="C633" s="500"/>
      <c r="D633" s="244">
        <f>SUM(D629:D632)</f>
        <v>139954.86140999998</v>
      </c>
      <c r="E633" s="244">
        <f>SUM(E629:E632)</f>
        <v>167381.19541704445</v>
      </c>
      <c r="F633" s="245">
        <f>SUM(F629:F632)</f>
        <v>22.438089891048492</v>
      </c>
      <c r="G633" s="244">
        <f>SUM(G629:G632)</f>
        <v>0</v>
      </c>
      <c r="H633" s="246">
        <f t="shared" ref="H633" si="69">IFERROR(G633/E633*100,)</f>
        <v>0</v>
      </c>
      <c r="I633" s="260"/>
      <c r="J633" s="260"/>
      <c r="L633" s="28"/>
    </row>
    <row r="634" spans="1:12" ht="27" customHeight="1">
      <c r="A634" s="249"/>
      <c r="B634" s="250"/>
      <c r="C634" s="250"/>
      <c r="D634" s="250"/>
      <c r="E634" s="250"/>
      <c r="F634" s="250"/>
      <c r="G634" s="250"/>
      <c r="H634" s="251"/>
    </row>
    <row r="635" spans="1:12" ht="15.75">
      <c r="A635" s="507" t="s">
        <v>335</v>
      </c>
      <c r="B635" s="508"/>
      <c r="C635" s="508"/>
      <c r="D635" s="508"/>
      <c r="E635" s="508"/>
      <c r="F635" s="508"/>
      <c r="G635" s="508"/>
      <c r="H635" s="509"/>
    </row>
    <row r="636" spans="1:12" ht="27" customHeight="1">
      <c r="A636" s="249"/>
      <c r="B636" s="250"/>
      <c r="C636" s="250"/>
      <c r="D636" s="250"/>
      <c r="E636" s="250"/>
      <c r="F636" s="250"/>
      <c r="G636" s="250"/>
      <c r="H636" s="251"/>
    </row>
    <row r="637" spans="1:12" ht="27" customHeight="1">
      <c r="A637" s="249"/>
      <c r="B637" s="250"/>
      <c r="C637" s="250"/>
      <c r="D637" s="250"/>
      <c r="E637" s="250"/>
      <c r="F637" s="250"/>
      <c r="G637" s="250"/>
      <c r="H637" s="251"/>
    </row>
    <row r="638" spans="1:12" ht="15.75">
      <c r="A638" s="490" t="s">
        <v>463</v>
      </c>
      <c r="B638" s="491"/>
      <c r="C638" s="492" t="s">
        <v>746</v>
      </c>
      <c r="D638" s="492"/>
      <c r="E638" s="492"/>
      <c r="F638" s="492"/>
      <c r="G638" s="492"/>
      <c r="H638" s="493"/>
    </row>
    <row r="639" spans="1:12" ht="15.75">
      <c r="A639" s="491" t="s">
        <v>180</v>
      </c>
      <c r="B639" s="491"/>
      <c r="C639" s="492" t="s">
        <v>98</v>
      </c>
      <c r="D639" s="492"/>
      <c r="E639" s="492"/>
      <c r="F639" s="492"/>
      <c r="G639" s="492"/>
      <c r="H639" s="493"/>
    </row>
    <row r="640" spans="1:12" ht="27" customHeight="1">
      <c r="A640" s="249"/>
      <c r="B640" s="250"/>
      <c r="C640" s="250"/>
      <c r="D640" s="250"/>
      <c r="E640" s="250"/>
      <c r="F640" s="250"/>
      <c r="G640" s="250" t="s">
        <v>464</v>
      </c>
      <c r="H640" s="251"/>
    </row>
    <row r="641" spans="1:12" ht="15.75">
      <c r="A641" s="494" t="s">
        <v>465</v>
      </c>
      <c r="B641" s="495"/>
      <c r="C641" s="495"/>
      <c r="D641" s="494" t="s">
        <v>466</v>
      </c>
      <c r="E641" s="495"/>
      <c r="F641" s="496"/>
      <c r="G641" s="502" t="s">
        <v>467</v>
      </c>
      <c r="H641" s="503"/>
    </row>
    <row r="642" spans="1:12" ht="15.75">
      <c r="A642" s="494" t="s">
        <v>468</v>
      </c>
      <c r="B642" s="495"/>
      <c r="C642" s="496"/>
      <c r="D642" s="494" t="s">
        <v>469</v>
      </c>
      <c r="E642" s="496"/>
      <c r="F642" s="497" t="s">
        <v>470</v>
      </c>
      <c r="G642" s="498" t="s">
        <v>471</v>
      </c>
      <c r="H642" s="498" t="s">
        <v>472</v>
      </c>
    </row>
    <row r="643" spans="1:12" ht="47.25">
      <c r="A643" s="234" t="s">
        <v>473</v>
      </c>
      <c r="B643" s="234" t="s">
        <v>474</v>
      </c>
      <c r="C643" s="235" t="s">
        <v>475</v>
      </c>
      <c r="D643" s="234" t="s">
        <v>476</v>
      </c>
      <c r="E643" s="234" t="s">
        <v>477</v>
      </c>
      <c r="F643" s="497"/>
      <c r="G643" s="499"/>
      <c r="H643" s="499"/>
    </row>
    <row r="644" spans="1:12" ht="63">
      <c r="A644" s="248">
        <v>1</v>
      </c>
      <c r="B644" s="242" t="s">
        <v>743</v>
      </c>
      <c r="C644" s="237" t="s">
        <v>482</v>
      </c>
      <c r="D644" s="238">
        <v>45477.809818888883</v>
      </c>
      <c r="E644" s="238">
        <v>50584.347737044445</v>
      </c>
      <c r="F644" s="240">
        <f t="shared" ref="F644:F647" si="70">IFERROR(E644/D644*100-100,)</f>
        <v>11.228636423987595</v>
      </c>
      <c r="G644" s="238"/>
      <c r="H644" s="241"/>
    </row>
    <row r="645" spans="1:12" ht="63">
      <c r="A645" s="248">
        <v>1</v>
      </c>
      <c r="B645" s="242" t="s">
        <v>726</v>
      </c>
      <c r="C645" s="237" t="s">
        <v>482</v>
      </c>
      <c r="D645" s="238">
        <v>1200</v>
      </c>
      <c r="E645" s="238">
        <v>1000</v>
      </c>
      <c r="F645" s="240">
        <f t="shared" si="70"/>
        <v>-16.666666666666657</v>
      </c>
      <c r="G645" s="238"/>
      <c r="H645" s="241"/>
    </row>
    <row r="646" spans="1:12" ht="110.25">
      <c r="A646" s="248">
        <v>1</v>
      </c>
      <c r="B646" s="242" t="s">
        <v>744</v>
      </c>
      <c r="C646" s="237" t="s">
        <v>482</v>
      </c>
      <c r="D646" s="238">
        <v>31112.322000000007</v>
      </c>
      <c r="E646" s="238">
        <v>52436.832000000002</v>
      </c>
      <c r="F646" s="240">
        <f t="shared" si="70"/>
        <v>68.540400166853487</v>
      </c>
      <c r="G646" s="238"/>
      <c r="H646" s="241"/>
    </row>
    <row r="647" spans="1:12" ht="47.25">
      <c r="A647" s="248">
        <v>1</v>
      </c>
      <c r="B647" s="242" t="s">
        <v>745</v>
      </c>
      <c r="C647" s="237" t="s">
        <v>482</v>
      </c>
      <c r="D647" s="238">
        <v>160</v>
      </c>
      <c r="E647" s="238">
        <v>160</v>
      </c>
      <c r="F647" s="240">
        <f t="shared" si="70"/>
        <v>0</v>
      </c>
      <c r="G647" s="238"/>
      <c r="H647" s="241"/>
    </row>
    <row r="648" spans="1:12" ht="15.75">
      <c r="A648" s="500" t="s">
        <v>386</v>
      </c>
      <c r="B648" s="500"/>
      <c r="C648" s="500"/>
      <c r="D648" s="244">
        <f>SUM(D644:D647)</f>
        <v>77950.131818888884</v>
      </c>
      <c r="E648" s="244">
        <f>SUM(E644:E647)</f>
        <v>104181.17973704444</v>
      </c>
      <c r="F648" s="245">
        <f>SUM(F644:F647)</f>
        <v>63.102369924174425</v>
      </c>
      <c r="G648" s="244">
        <f>SUM(G644:G647)</f>
        <v>0</v>
      </c>
      <c r="H648" s="246">
        <f t="shared" ref="H648" si="71">IFERROR(G648/E648*100,)</f>
        <v>0</v>
      </c>
      <c r="I648" s="260"/>
      <c r="J648" s="260"/>
      <c r="L648" s="28"/>
    </row>
    <row r="649" spans="1:12" ht="27" customHeight="1">
      <c r="A649" s="249"/>
      <c r="B649" s="250"/>
      <c r="C649" s="250"/>
      <c r="D649" s="250"/>
      <c r="E649" s="250"/>
      <c r="F649" s="250"/>
      <c r="G649" s="250"/>
      <c r="H649" s="251"/>
    </row>
    <row r="650" spans="1:12" ht="15.75">
      <c r="A650" s="507" t="s">
        <v>335</v>
      </c>
      <c r="B650" s="508"/>
      <c r="C650" s="508"/>
      <c r="D650" s="508"/>
      <c r="E650" s="508"/>
      <c r="F650" s="508"/>
      <c r="G650" s="508"/>
      <c r="H650" s="509"/>
    </row>
    <row r="651" spans="1:12" ht="27" customHeight="1">
      <c r="A651" s="249"/>
      <c r="B651" s="250"/>
      <c r="C651" s="250"/>
      <c r="D651" s="250"/>
      <c r="E651" s="250"/>
      <c r="F651" s="250"/>
      <c r="G651" s="250"/>
      <c r="H651" s="251"/>
    </row>
    <row r="652" spans="1:12" ht="27" customHeight="1">
      <c r="A652" s="249"/>
      <c r="B652" s="250"/>
      <c r="C652" s="250"/>
      <c r="D652" s="250"/>
      <c r="E652" s="250"/>
      <c r="F652" s="250"/>
      <c r="G652" s="250"/>
      <c r="H652" s="251"/>
    </row>
    <row r="653" spans="1:12" ht="15.75">
      <c r="A653" s="490" t="s">
        <v>463</v>
      </c>
      <c r="B653" s="491"/>
      <c r="C653" s="492" t="s">
        <v>321</v>
      </c>
      <c r="D653" s="492"/>
      <c r="E653" s="492"/>
      <c r="F653" s="492"/>
      <c r="G653" s="492"/>
      <c r="H653" s="493"/>
    </row>
    <row r="654" spans="1:12" ht="15.75">
      <c r="A654" s="491" t="s">
        <v>180</v>
      </c>
      <c r="B654" s="491"/>
      <c r="C654" s="492" t="s">
        <v>98</v>
      </c>
      <c r="D654" s="492"/>
      <c r="E654" s="492"/>
      <c r="F654" s="492"/>
      <c r="G654" s="492"/>
      <c r="H654" s="493"/>
    </row>
    <row r="655" spans="1:12" ht="27" customHeight="1">
      <c r="A655" s="249"/>
      <c r="B655" s="250"/>
      <c r="C655" s="250"/>
      <c r="D655" s="250"/>
      <c r="E655" s="250"/>
      <c r="F655" s="250"/>
      <c r="G655" s="250" t="s">
        <v>464</v>
      </c>
      <c r="H655" s="251"/>
    </row>
    <row r="656" spans="1:12" ht="15.75">
      <c r="A656" s="494" t="s">
        <v>465</v>
      </c>
      <c r="B656" s="495"/>
      <c r="C656" s="495"/>
      <c r="D656" s="494" t="s">
        <v>466</v>
      </c>
      <c r="E656" s="495"/>
      <c r="F656" s="496"/>
      <c r="G656" s="502" t="s">
        <v>467</v>
      </c>
      <c r="H656" s="503"/>
    </row>
    <row r="657" spans="1:12" ht="15.75">
      <c r="A657" s="494" t="s">
        <v>468</v>
      </c>
      <c r="B657" s="495"/>
      <c r="C657" s="496"/>
      <c r="D657" s="494" t="s">
        <v>469</v>
      </c>
      <c r="E657" s="496"/>
      <c r="F657" s="497" t="s">
        <v>470</v>
      </c>
      <c r="G657" s="498" t="s">
        <v>471</v>
      </c>
      <c r="H657" s="498" t="s">
        <v>472</v>
      </c>
    </row>
    <row r="658" spans="1:12" ht="47.25">
      <c r="A658" s="234" t="s">
        <v>473</v>
      </c>
      <c r="B658" s="234" t="s">
        <v>474</v>
      </c>
      <c r="C658" s="235" t="s">
        <v>475</v>
      </c>
      <c r="D658" s="234" t="s">
        <v>476</v>
      </c>
      <c r="E658" s="234" t="s">
        <v>477</v>
      </c>
      <c r="F658" s="497"/>
      <c r="G658" s="499"/>
      <c r="H658" s="499"/>
    </row>
    <row r="659" spans="1:12" ht="63">
      <c r="A659" s="248">
        <v>1</v>
      </c>
      <c r="B659" s="242" t="s">
        <v>743</v>
      </c>
      <c r="C659" s="237" t="s">
        <v>482</v>
      </c>
      <c r="D659" s="238">
        <v>50368.903059999997</v>
      </c>
      <c r="E659" s="238">
        <v>54278.133017044442</v>
      </c>
      <c r="F659" s="240">
        <f t="shared" ref="F659:F662" si="72">IFERROR(E659/D659*100-100,)</f>
        <v>7.7611973252380153</v>
      </c>
      <c r="G659" s="238"/>
      <c r="H659" s="241"/>
    </row>
    <row r="660" spans="1:12" ht="63">
      <c r="A660" s="248">
        <v>1</v>
      </c>
      <c r="B660" s="242" t="s">
        <v>726</v>
      </c>
      <c r="C660" s="237" t="s">
        <v>482</v>
      </c>
      <c r="D660" s="238">
        <v>1200</v>
      </c>
      <c r="E660" s="238">
        <v>1000</v>
      </c>
      <c r="F660" s="240">
        <f t="shared" si="72"/>
        <v>-16.666666666666657</v>
      </c>
      <c r="G660" s="238"/>
      <c r="H660" s="241"/>
    </row>
    <row r="661" spans="1:12" ht="110.25">
      <c r="A661" s="248">
        <v>1</v>
      </c>
      <c r="B661" s="242" t="s">
        <v>744</v>
      </c>
      <c r="C661" s="237" t="s">
        <v>482</v>
      </c>
      <c r="D661" s="238">
        <v>51574.052000000003</v>
      </c>
      <c r="E661" s="238">
        <v>54869.008000000002</v>
      </c>
      <c r="F661" s="240">
        <f t="shared" si="72"/>
        <v>6.3887863610173667</v>
      </c>
      <c r="G661" s="238"/>
      <c r="H661" s="241"/>
    </row>
    <row r="662" spans="1:12" ht="47.25">
      <c r="A662" s="248">
        <v>1</v>
      </c>
      <c r="B662" s="242" t="s">
        <v>745</v>
      </c>
      <c r="C662" s="237" t="s">
        <v>482</v>
      </c>
      <c r="D662" s="238">
        <v>160</v>
      </c>
      <c r="E662" s="238">
        <v>160</v>
      </c>
      <c r="F662" s="240">
        <f t="shared" si="72"/>
        <v>0</v>
      </c>
      <c r="G662" s="238"/>
      <c r="H662" s="241"/>
    </row>
    <row r="663" spans="1:12" ht="15.75">
      <c r="A663" s="500" t="s">
        <v>386</v>
      </c>
      <c r="B663" s="500"/>
      <c r="C663" s="500"/>
      <c r="D663" s="244">
        <f>SUM(D659:D662)</f>
        <v>103302.95506000001</v>
      </c>
      <c r="E663" s="244">
        <f>SUM(E659:E662)</f>
        <v>110307.14101704444</v>
      </c>
      <c r="F663" s="245">
        <f>SUM(F659:F662)</f>
        <v>-2.5166829804112751</v>
      </c>
      <c r="G663" s="244">
        <f>SUM(G659:G662)</f>
        <v>0</v>
      </c>
      <c r="H663" s="246">
        <f t="shared" ref="H663" si="73">IFERROR(G663/E663*100,)</f>
        <v>0</v>
      </c>
      <c r="I663" s="260"/>
      <c r="J663" s="260"/>
      <c r="L663" s="28"/>
    </row>
    <row r="664" spans="1:12" ht="27" customHeight="1">
      <c r="A664" s="249"/>
      <c r="B664" s="250"/>
      <c r="C664" s="250"/>
      <c r="D664" s="250"/>
      <c r="E664" s="250"/>
      <c r="F664" s="250"/>
      <c r="G664" s="250"/>
      <c r="H664" s="251"/>
    </row>
    <row r="665" spans="1:12" ht="15.75">
      <c r="A665" s="507" t="s">
        <v>335</v>
      </c>
      <c r="B665" s="508"/>
      <c r="C665" s="508"/>
      <c r="D665" s="508"/>
      <c r="E665" s="508"/>
      <c r="F665" s="508"/>
      <c r="G665" s="508"/>
      <c r="H665" s="509"/>
    </row>
    <row r="666" spans="1:12" ht="27" customHeight="1">
      <c r="A666" s="249"/>
      <c r="B666" s="250"/>
      <c r="C666" s="250"/>
      <c r="D666" s="250"/>
      <c r="E666" s="250"/>
      <c r="F666" s="250"/>
      <c r="G666" s="250"/>
      <c r="H666" s="251"/>
    </row>
    <row r="667" spans="1:12" ht="27" customHeight="1">
      <c r="A667" s="249"/>
      <c r="B667" s="250"/>
      <c r="C667" s="250"/>
      <c r="D667" s="250"/>
      <c r="E667" s="250"/>
      <c r="F667" s="250"/>
      <c r="G667" s="250"/>
      <c r="H667" s="251"/>
    </row>
    <row r="668" spans="1:12" ht="15.75">
      <c r="A668" s="490" t="s">
        <v>463</v>
      </c>
      <c r="B668" s="491"/>
      <c r="C668" s="492" t="s">
        <v>324</v>
      </c>
      <c r="D668" s="492"/>
      <c r="E668" s="492"/>
      <c r="F668" s="492"/>
      <c r="G668" s="492"/>
      <c r="H668" s="493"/>
    </row>
    <row r="669" spans="1:12" ht="15.75">
      <c r="A669" s="491" t="s">
        <v>180</v>
      </c>
      <c r="B669" s="491"/>
      <c r="C669" s="492" t="s">
        <v>98</v>
      </c>
      <c r="D669" s="492"/>
      <c r="E669" s="492"/>
      <c r="F669" s="492"/>
      <c r="G669" s="492"/>
      <c r="H669" s="493"/>
    </row>
    <row r="670" spans="1:12" ht="27" customHeight="1">
      <c r="A670" s="249"/>
      <c r="B670" s="250"/>
      <c r="C670" s="250"/>
      <c r="D670" s="250"/>
      <c r="E670" s="250"/>
      <c r="F670" s="250"/>
      <c r="G670" s="250" t="s">
        <v>464</v>
      </c>
      <c r="H670" s="251"/>
    </row>
    <row r="671" spans="1:12" ht="15.75">
      <c r="A671" s="494" t="s">
        <v>465</v>
      </c>
      <c r="B671" s="495"/>
      <c r="C671" s="495"/>
      <c r="D671" s="494" t="s">
        <v>466</v>
      </c>
      <c r="E671" s="495"/>
      <c r="F671" s="496"/>
      <c r="G671" s="502" t="s">
        <v>467</v>
      </c>
      <c r="H671" s="503"/>
    </row>
    <row r="672" spans="1:12" ht="15.75">
      <c r="A672" s="494" t="s">
        <v>468</v>
      </c>
      <c r="B672" s="495"/>
      <c r="C672" s="496"/>
      <c r="D672" s="494" t="s">
        <v>469</v>
      </c>
      <c r="E672" s="496"/>
      <c r="F672" s="497" t="s">
        <v>470</v>
      </c>
      <c r="G672" s="498" t="s">
        <v>471</v>
      </c>
      <c r="H672" s="498" t="s">
        <v>472</v>
      </c>
    </row>
    <row r="673" spans="1:12" ht="47.25">
      <c r="A673" s="234" t="s">
        <v>473</v>
      </c>
      <c r="B673" s="234" t="s">
        <v>474</v>
      </c>
      <c r="C673" s="235" t="s">
        <v>475</v>
      </c>
      <c r="D673" s="234" t="s">
        <v>476</v>
      </c>
      <c r="E673" s="234" t="s">
        <v>477</v>
      </c>
      <c r="F673" s="497"/>
      <c r="G673" s="499"/>
      <c r="H673" s="499"/>
    </row>
    <row r="674" spans="1:12" ht="63">
      <c r="A674" s="248">
        <v>1</v>
      </c>
      <c r="B674" s="242" t="s">
        <v>743</v>
      </c>
      <c r="C674" s="237" t="s">
        <v>482</v>
      </c>
      <c r="D674" s="238">
        <v>64955.669050000004</v>
      </c>
      <c r="E674" s="238">
        <v>69670.052692066674</v>
      </c>
      <c r="F674" s="240">
        <f t="shared" ref="F674:F677" si="74">IFERROR(E674/D674*100-100,)</f>
        <v>7.2578478691948334</v>
      </c>
      <c r="G674" s="238"/>
      <c r="H674" s="241"/>
    </row>
    <row r="675" spans="1:12" ht="63">
      <c r="A675" s="248">
        <v>1</v>
      </c>
      <c r="B675" s="242" t="s">
        <v>726</v>
      </c>
      <c r="C675" s="237" t="s">
        <v>482</v>
      </c>
      <c r="D675" s="238">
        <v>1800</v>
      </c>
      <c r="E675" s="238">
        <v>1000</v>
      </c>
      <c r="F675" s="240">
        <f t="shared" si="74"/>
        <v>-44.444444444444443</v>
      </c>
      <c r="G675" s="238"/>
      <c r="H675" s="241"/>
    </row>
    <row r="676" spans="1:12" ht="110.25">
      <c r="A676" s="248">
        <v>1</v>
      </c>
      <c r="B676" s="242" t="s">
        <v>744</v>
      </c>
      <c r="C676" s="237" t="s">
        <v>482</v>
      </c>
      <c r="D676" s="238">
        <v>52575.993999999999</v>
      </c>
      <c r="E676" s="238">
        <v>52925.008000000002</v>
      </c>
      <c r="F676" s="240">
        <f t="shared" si="74"/>
        <v>0.66382767770400619</v>
      </c>
      <c r="G676" s="238"/>
      <c r="H676" s="241"/>
    </row>
    <row r="677" spans="1:12" ht="47.25">
      <c r="A677" s="248">
        <v>1</v>
      </c>
      <c r="B677" s="242" t="s">
        <v>745</v>
      </c>
      <c r="C677" s="237" t="s">
        <v>482</v>
      </c>
      <c r="D677" s="238">
        <v>160</v>
      </c>
      <c r="E677" s="238">
        <v>160</v>
      </c>
      <c r="F677" s="240">
        <f t="shared" si="74"/>
        <v>0</v>
      </c>
      <c r="G677" s="238"/>
      <c r="H677" s="241"/>
    </row>
    <row r="678" spans="1:12" ht="15.75">
      <c r="A678" s="500" t="s">
        <v>386</v>
      </c>
      <c r="B678" s="500"/>
      <c r="C678" s="500"/>
      <c r="D678" s="244">
        <f>SUM(D674:D677)</f>
        <v>119491.66305</v>
      </c>
      <c r="E678" s="244">
        <f>SUM(E674:E677)</f>
        <v>123755.06069206668</v>
      </c>
      <c r="F678" s="245">
        <f>SUM(F674:F677)</f>
        <v>-36.522768897545603</v>
      </c>
      <c r="G678" s="244">
        <f>SUM(G674:G677)</f>
        <v>0</v>
      </c>
      <c r="H678" s="246">
        <f t="shared" ref="H678" si="75">IFERROR(G678/E678*100,)</f>
        <v>0</v>
      </c>
      <c r="I678" s="260"/>
      <c r="J678" s="260"/>
      <c r="L678" s="28"/>
    </row>
    <row r="679" spans="1:12" ht="27" customHeight="1">
      <c r="A679" s="249"/>
      <c r="B679" s="250"/>
      <c r="C679" s="250"/>
      <c r="D679" s="250"/>
      <c r="E679" s="250"/>
      <c r="F679" s="250"/>
      <c r="G679" s="250"/>
      <c r="H679" s="251"/>
    </row>
    <row r="680" spans="1:12" ht="15.75">
      <c r="A680" s="507" t="s">
        <v>335</v>
      </c>
      <c r="B680" s="508"/>
      <c r="C680" s="508"/>
      <c r="D680" s="508"/>
      <c r="E680" s="508"/>
      <c r="F680" s="508"/>
      <c r="G680" s="508"/>
      <c r="H680" s="509"/>
    </row>
    <row r="681" spans="1:12" ht="27" customHeight="1">
      <c r="A681" s="249"/>
      <c r="B681" s="250"/>
      <c r="C681" s="250"/>
      <c r="D681" s="250"/>
      <c r="E681" s="250"/>
      <c r="F681" s="250"/>
      <c r="G681" s="250"/>
      <c r="H681" s="251"/>
    </row>
    <row r="682" spans="1:12" ht="27" customHeight="1">
      <c r="A682" s="249"/>
      <c r="B682" s="250"/>
      <c r="C682" s="250"/>
      <c r="D682" s="250"/>
      <c r="E682" s="250"/>
      <c r="F682" s="250"/>
      <c r="G682" s="250"/>
      <c r="H682" s="251"/>
    </row>
    <row r="683" spans="1:12" ht="15.75">
      <c r="A683" s="490" t="s">
        <v>463</v>
      </c>
      <c r="B683" s="491"/>
      <c r="C683" s="492" t="s">
        <v>327</v>
      </c>
      <c r="D683" s="492"/>
      <c r="E683" s="492"/>
      <c r="F683" s="492"/>
      <c r="G683" s="492"/>
      <c r="H683" s="493"/>
    </row>
    <row r="684" spans="1:12" ht="15.75">
      <c r="A684" s="491" t="s">
        <v>180</v>
      </c>
      <c r="B684" s="491"/>
      <c r="C684" s="492" t="s">
        <v>329</v>
      </c>
      <c r="D684" s="492"/>
      <c r="E684" s="492"/>
      <c r="F684" s="492"/>
      <c r="G684" s="492"/>
      <c r="H684" s="493"/>
    </row>
    <row r="685" spans="1:12" ht="27" customHeight="1">
      <c r="A685" s="249"/>
      <c r="B685" s="250"/>
      <c r="C685" s="250"/>
      <c r="D685" s="250"/>
      <c r="E685" s="250"/>
      <c r="F685" s="250"/>
      <c r="G685" s="250" t="s">
        <v>464</v>
      </c>
      <c r="H685" s="251"/>
    </row>
    <row r="686" spans="1:12" ht="15.75">
      <c r="A686" s="494" t="s">
        <v>465</v>
      </c>
      <c r="B686" s="495"/>
      <c r="C686" s="495"/>
      <c r="D686" s="494" t="s">
        <v>466</v>
      </c>
      <c r="E686" s="495"/>
      <c r="F686" s="496"/>
      <c r="G686" s="502" t="s">
        <v>467</v>
      </c>
      <c r="H686" s="503"/>
    </row>
    <row r="687" spans="1:12" ht="15.75">
      <c r="A687" s="494" t="s">
        <v>468</v>
      </c>
      <c r="B687" s="495"/>
      <c r="C687" s="496"/>
      <c r="D687" s="494" t="s">
        <v>469</v>
      </c>
      <c r="E687" s="496"/>
      <c r="F687" s="497" t="s">
        <v>470</v>
      </c>
      <c r="G687" s="498" t="s">
        <v>471</v>
      </c>
      <c r="H687" s="498" t="s">
        <v>472</v>
      </c>
    </row>
    <row r="688" spans="1:12" ht="47.25">
      <c r="A688" s="234" t="s">
        <v>473</v>
      </c>
      <c r="B688" s="234" t="s">
        <v>474</v>
      </c>
      <c r="C688" s="235" t="s">
        <v>475</v>
      </c>
      <c r="D688" s="234" t="s">
        <v>476</v>
      </c>
      <c r="E688" s="234" t="s">
        <v>477</v>
      </c>
      <c r="F688" s="497"/>
      <c r="G688" s="499"/>
      <c r="H688" s="499"/>
    </row>
    <row r="689" spans="1:8" ht="94.5">
      <c r="A689" s="236">
        <v>6</v>
      </c>
      <c r="B689" s="228" t="s">
        <v>747</v>
      </c>
      <c r="C689" s="237" t="s">
        <v>482</v>
      </c>
      <c r="D689" s="238">
        <v>16000</v>
      </c>
      <c r="E689" s="229">
        <v>18000</v>
      </c>
      <c r="F689" s="240">
        <f t="shared" ref="F689:F716" si="76">IFERROR(E689/D689*100-100,)</f>
        <v>12.5</v>
      </c>
      <c r="G689" s="238"/>
      <c r="H689" s="133">
        <f>IFERROR(G689/E689*100,)</f>
        <v>0</v>
      </c>
    </row>
    <row r="690" spans="1:8" ht="47.25">
      <c r="A690" s="236">
        <v>3</v>
      </c>
      <c r="B690" s="228" t="s">
        <v>748</v>
      </c>
      <c r="C690" s="237" t="s">
        <v>482</v>
      </c>
      <c r="D690" s="238">
        <v>0</v>
      </c>
      <c r="E690" s="238">
        <v>0</v>
      </c>
      <c r="F690" s="240">
        <f t="shared" si="76"/>
        <v>0</v>
      </c>
      <c r="G690" s="238"/>
      <c r="H690" s="241"/>
    </row>
    <row r="691" spans="1:8" ht="47.25">
      <c r="A691" s="236">
        <v>1</v>
      </c>
      <c r="B691" s="228" t="s">
        <v>749</v>
      </c>
      <c r="C691" s="237" t="s">
        <v>482</v>
      </c>
      <c r="D691" s="238">
        <v>0</v>
      </c>
      <c r="E691" s="238"/>
      <c r="F691" s="240">
        <f t="shared" si="76"/>
        <v>0</v>
      </c>
      <c r="G691" s="238"/>
      <c r="H691" s="241"/>
    </row>
    <row r="692" spans="1:8" ht="31.5">
      <c r="A692" s="256">
        <v>1</v>
      </c>
      <c r="B692" s="243" t="s">
        <v>750</v>
      </c>
      <c r="C692" s="237" t="s">
        <v>556</v>
      </c>
      <c r="D692" s="238">
        <v>0</v>
      </c>
      <c r="E692" s="238">
        <v>0</v>
      </c>
      <c r="F692" s="240">
        <f t="shared" si="76"/>
        <v>0</v>
      </c>
      <c r="G692" s="238"/>
      <c r="H692" s="241"/>
    </row>
    <row r="693" spans="1:8" ht="31.5">
      <c r="A693" s="236">
        <v>1</v>
      </c>
      <c r="B693" s="243" t="s">
        <v>751</v>
      </c>
      <c r="C693" s="237" t="s">
        <v>482</v>
      </c>
      <c r="D693" s="238">
        <v>0</v>
      </c>
      <c r="E693" s="238">
        <v>0</v>
      </c>
      <c r="F693" s="240">
        <f t="shared" si="76"/>
        <v>0</v>
      </c>
      <c r="G693" s="238"/>
      <c r="H693" s="241"/>
    </row>
    <row r="694" spans="1:8" ht="31.5">
      <c r="A694" s="236">
        <v>1</v>
      </c>
      <c r="B694" s="242" t="s">
        <v>752</v>
      </c>
      <c r="C694" s="8" t="s">
        <v>556</v>
      </c>
      <c r="D694" s="9">
        <v>0</v>
      </c>
      <c r="E694" s="9">
        <v>0</v>
      </c>
      <c r="F694" s="240">
        <f t="shared" si="76"/>
        <v>0</v>
      </c>
      <c r="G694" s="9"/>
      <c r="H694" s="241"/>
    </row>
    <row r="695" spans="1:8" ht="47.25">
      <c r="A695" s="236">
        <v>1</v>
      </c>
      <c r="B695" s="242" t="s">
        <v>753</v>
      </c>
      <c r="C695" s="8" t="s">
        <v>556</v>
      </c>
      <c r="D695" s="9">
        <v>0</v>
      </c>
      <c r="E695" s="9">
        <v>0</v>
      </c>
      <c r="F695" s="240">
        <f t="shared" si="76"/>
        <v>0</v>
      </c>
      <c r="G695" s="9"/>
      <c r="H695" s="241"/>
    </row>
    <row r="696" spans="1:8" ht="31.5">
      <c r="A696" s="236">
        <v>1</v>
      </c>
      <c r="B696" s="242" t="s">
        <v>754</v>
      </c>
      <c r="C696" s="237" t="s">
        <v>482</v>
      </c>
      <c r="D696" s="238">
        <v>0</v>
      </c>
      <c r="E696" s="238">
        <v>0</v>
      </c>
      <c r="F696" s="240">
        <f t="shared" si="76"/>
        <v>0</v>
      </c>
      <c r="G696" s="238"/>
      <c r="H696" s="241"/>
    </row>
    <row r="697" spans="1:8" ht="15.75">
      <c r="A697" s="236">
        <v>1</v>
      </c>
      <c r="B697" s="243" t="s">
        <v>755</v>
      </c>
      <c r="C697" s="237" t="s">
        <v>485</v>
      </c>
      <c r="D697" s="238">
        <v>0</v>
      </c>
      <c r="E697" s="238">
        <v>0</v>
      </c>
      <c r="F697" s="240">
        <f t="shared" si="76"/>
        <v>0</v>
      </c>
      <c r="G697" s="238"/>
      <c r="H697" s="241"/>
    </row>
    <row r="698" spans="1:8" ht="31.5">
      <c r="A698" s="236">
        <v>1</v>
      </c>
      <c r="B698" s="242" t="s">
        <v>756</v>
      </c>
      <c r="C698" s="237" t="s">
        <v>482</v>
      </c>
      <c r="D698" s="238">
        <v>0</v>
      </c>
      <c r="E698" s="238">
        <v>0</v>
      </c>
      <c r="F698" s="240">
        <f t="shared" si="76"/>
        <v>0</v>
      </c>
      <c r="G698" s="238"/>
      <c r="H698" s="241"/>
    </row>
    <row r="699" spans="1:8" ht="31.5">
      <c r="A699" s="236">
        <v>1</v>
      </c>
      <c r="B699" s="242" t="s">
        <v>757</v>
      </c>
      <c r="C699" s="8" t="s">
        <v>482</v>
      </c>
      <c r="D699" s="9">
        <v>0</v>
      </c>
      <c r="E699" s="9">
        <v>0</v>
      </c>
      <c r="F699" s="240">
        <f t="shared" si="76"/>
        <v>0</v>
      </c>
      <c r="G699" s="9"/>
      <c r="H699" s="241"/>
    </row>
    <row r="700" spans="1:8" ht="47.25">
      <c r="A700" s="236">
        <v>1</v>
      </c>
      <c r="B700" s="242" t="s">
        <v>758</v>
      </c>
      <c r="C700" s="8" t="s">
        <v>482</v>
      </c>
      <c r="D700" s="9">
        <v>0</v>
      </c>
      <c r="E700" s="9">
        <v>0</v>
      </c>
      <c r="F700" s="240">
        <f t="shared" si="76"/>
        <v>0</v>
      </c>
      <c r="G700" s="9"/>
      <c r="H700" s="133">
        <f>IFERROR(G700/E700*100,)</f>
        <v>0</v>
      </c>
    </row>
    <row r="701" spans="1:8" ht="47.25">
      <c r="A701" s="236">
        <v>1</v>
      </c>
      <c r="B701" s="242" t="s">
        <v>759</v>
      </c>
      <c r="C701" s="8" t="s">
        <v>482</v>
      </c>
      <c r="D701" s="9">
        <v>0</v>
      </c>
      <c r="E701" s="9">
        <v>0</v>
      </c>
      <c r="F701" s="240">
        <f t="shared" si="76"/>
        <v>0</v>
      </c>
      <c r="G701" s="9"/>
      <c r="H701" s="133">
        <f t="shared" ref="H701" si="77">IFERROR(G701/E701*100,)</f>
        <v>0</v>
      </c>
    </row>
    <row r="702" spans="1:8" ht="31.5">
      <c r="A702" s="236">
        <v>1</v>
      </c>
      <c r="B702" s="242" t="s">
        <v>760</v>
      </c>
      <c r="C702" s="8" t="s">
        <v>482</v>
      </c>
      <c r="D702" s="238"/>
      <c r="E702" s="238">
        <v>0</v>
      </c>
      <c r="F702" s="240">
        <f t="shared" si="76"/>
        <v>0</v>
      </c>
      <c r="G702" s="238"/>
      <c r="H702" s="241"/>
    </row>
    <row r="703" spans="1:8" ht="31.5">
      <c r="A703" s="236">
        <v>1</v>
      </c>
      <c r="B703" s="243" t="s">
        <v>761</v>
      </c>
      <c r="C703" s="8" t="s">
        <v>482</v>
      </c>
      <c r="D703" s="238"/>
      <c r="E703" s="9">
        <v>0</v>
      </c>
      <c r="F703" s="240">
        <f t="shared" si="76"/>
        <v>0</v>
      </c>
      <c r="G703" s="9"/>
      <c r="H703" s="133">
        <f t="shared" ref="H703:H717" si="78">IFERROR(G703/E703*100,)</f>
        <v>0</v>
      </c>
    </row>
    <row r="704" spans="1:8" ht="15.75">
      <c r="A704" s="236">
        <v>1</v>
      </c>
      <c r="B704" s="243" t="s">
        <v>762</v>
      </c>
      <c r="C704" s="8" t="s">
        <v>482</v>
      </c>
      <c r="D704" s="9"/>
      <c r="E704" s="9">
        <v>0</v>
      </c>
      <c r="F704" s="240">
        <f t="shared" si="76"/>
        <v>0</v>
      </c>
      <c r="G704" s="9"/>
      <c r="H704" s="133">
        <f t="shared" si="78"/>
        <v>0</v>
      </c>
    </row>
    <row r="705" spans="1:12" ht="31.5">
      <c r="A705" s="236">
        <v>1</v>
      </c>
      <c r="B705" s="242" t="s">
        <v>763</v>
      </c>
      <c r="C705" s="8" t="s">
        <v>482</v>
      </c>
      <c r="D705" s="9"/>
      <c r="E705" s="9">
        <v>0</v>
      </c>
      <c r="F705" s="240">
        <f t="shared" si="76"/>
        <v>0</v>
      </c>
      <c r="G705" s="9"/>
      <c r="H705" s="133">
        <f t="shared" si="78"/>
        <v>0</v>
      </c>
    </row>
    <row r="706" spans="1:12" ht="31.5">
      <c r="A706" s="236">
        <v>1</v>
      </c>
      <c r="B706" s="242" t="s">
        <v>764</v>
      </c>
      <c r="C706" s="8" t="s">
        <v>482</v>
      </c>
      <c r="D706" s="238"/>
      <c r="E706" s="238">
        <v>0</v>
      </c>
      <c r="F706" s="240">
        <f t="shared" si="76"/>
        <v>0</v>
      </c>
      <c r="G706" s="238"/>
      <c r="H706" s="133">
        <f t="shared" si="78"/>
        <v>0</v>
      </c>
    </row>
    <row r="707" spans="1:12" ht="31.5">
      <c r="A707" s="236">
        <v>1</v>
      </c>
      <c r="B707" s="242" t="s">
        <v>765</v>
      </c>
      <c r="C707" s="8" t="s">
        <v>482</v>
      </c>
      <c r="D707" s="238"/>
      <c r="E707" s="238">
        <v>0</v>
      </c>
      <c r="F707" s="240">
        <f t="shared" si="76"/>
        <v>0</v>
      </c>
      <c r="G707" s="238"/>
      <c r="H707" s="133">
        <f t="shared" si="78"/>
        <v>0</v>
      </c>
    </row>
    <row r="708" spans="1:12" ht="47.25">
      <c r="A708" s="236">
        <v>1</v>
      </c>
      <c r="B708" s="242" t="s">
        <v>766</v>
      </c>
      <c r="C708" s="8" t="s">
        <v>482</v>
      </c>
      <c r="D708" s="9"/>
      <c r="E708" s="9">
        <v>0</v>
      </c>
      <c r="F708" s="240">
        <f t="shared" si="76"/>
        <v>0</v>
      </c>
      <c r="G708" s="9"/>
      <c r="H708" s="133">
        <f t="shared" si="78"/>
        <v>0</v>
      </c>
    </row>
    <row r="709" spans="1:12" ht="47.25">
      <c r="A709" s="236">
        <v>1</v>
      </c>
      <c r="B709" s="242" t="s">
        <v>767</v>
      </c>
      <c r="C709" s="8" t="s">
        <v>482</v>
      </c>
      <c r="D709" s="9"/>
      <c r="E709" s="9">
        <v>0</v>
      </c>
      <c r="F709" s="240">
        <f t="shared" si="76"/>
        <v>0</v>
      </c>
      <c r="G709" s="9"/>
      <c r="H709" s="133">
        <f t="shared" si="78"/>
        <v>0</v>
      </c>
    </row>
    <row r="710" spans="1:12" ht="15.75">
      <c r="A710" s="236">
        <v>1</v>
      </c>
      <c r="B710" s="243" t="s">
        <v>768</v>
      </c>
      <c r="C710" s="8" t="s">
        <v>482</v>
      </c>
      <c r="D710" s="9"/>
      <c r="E710" s="9">
        <v>0</v>
      </c>
      <c r="F710" s="240">
        <f t="shared" si="76"/>
        <v>0</v>
      </c>
      <c r="G710" s="9"/>
      <c r="H710" s="133">
        <f t="shared" si="78"/>
        <v>0</v>
      </c>
    </row>
    <row r="711" spans="1:12" ht="15.75">
      <c r="A711" s="236">
        <v>1</v>
      </c>
      <c r="B711" s="243" t="s">
        <v>769</v>
      </c>
      <c r="C711" s="8" t="s">
        <v>482</v>
      </c>
      <c r="D711" s="9"/>
      <c r="E711" s="9">
        <v>0</v>
      </c>
      <c r="F711" s="240">
        <f t="shared" si="76"/>
        <v>0</v>
      </c>
      <c r="G711" s="9"/>
      <c r="H711" s="133">
        <f t="shared" si="78"/>
        <v>0</v>
      </c>
    </row>
    <row r="712" spans="1:12" ht="31.5">
      <c r="A712" s="236">
        <v>1</v>
      </c>
      <c r="B712" s="243" t="s">
        <v>770</v>
      </c>
      <c r="C712" s="8" t="s">
        <v>482</v>
      </c>
      <c r="D712" s="9"/>
      <c r="E712" s="9">
        <v>0</v>
      </c>
      <c r="F712" s="240">
        <f t="shared" si="76"/>
        <v>0</v>
      </c>
      <c r="G712" s="9"/>
      <c r="H712" s="133">
        <f t="shared" si="78"/>
        <v>0</v>
      </c>
    </row>
    <row r="713" spans="1:12" ht="31.5">
      <c r="A713" s="236">
        <v>1</v>
      </c>
      <c r="B713" s="243" t="s">
        <v>771</v>
      </c>
      <c r="C713" s="8" t="s">
        <v>482</v>
      </c>
      <c r="D713" s="9"/>
      <c r="E713" s="9">
        <v>0</v>
      </c>
      <c r="F713" s="240">
        <f t="shared" si="76"/>
        <v>0</v>
      </c>
      <c r="G713" s="9"/>
      <c r="H713" s="133">
        <f t="shared" si="78"/>
        <v>0</v>
      </c>
    </row>
    <row r="714" spans="1:12" ht="15.75">
      <c r="A714" s="236">
        <v>1</v>
      </c>
      <c r="B714" s="243" t="s">
        <v>772</v>
      </c>
      <c r="C714" s="8" t="s">
        <v>482</v>
      </c>
      <c r="D714" s="9"/>
      <c r="E714" s="9">
        <v>0</v>
      </c>
      <c r="F714" s="240">
        <f t="shared" si="76"/>
        <v>0</v>
      </c>
      <c r="G714" s="9"/>
      <c r="H714" s="133">
        <f t="shared" si="78"/>
        <v>0</v>
      </c>
    </row>
    <row r="715" spans="1:12" ht="15.75">
      <c r="A715" s="236">
        <v>1</v>
      </c>
      <c r="B715" s="243" t="s">
        <v>773</v>
      </c>
      <c r="C715" s="8" t="s">
        <v>482</v>
      </c>
      <c r="D715" s="9"/>
      <c r="E715" s="9">
        <v>0</v>
      </c>
      <c r="F715" s="240">
        <f t="shared" si="76"/>
        <v>0</v>
      </c>
      <c r="G715" s="9"/>
      <c r="H715" s="133">
        <f t="shared" si="78"/>
        <v>0</v>
      </c>
    </row>
    <row r="716" spans="1:12" ht="15.75">
      <c r="A716" s="236">
        <v>1</v>
      </c>
      <c r="B716" s="243" t="s">
        <v>774</v>
      </c>
      <c r="C716" s="8" t="s">
        <v>482</v>
      </c>
      <c r="D716" s="9"/>
      <c r="E716" s="9">
        <v>0</v>
      </c>
      <c r="F716" s="240">
        <f t="shared" si="76"/>
        <v>0</v>
      </c>
      <c r="G716" s="9"/>
      <c r="H716" s="133">
        <f t="shared" si="78"/>
        <v>0</v>
      </c>
    </row>
    <row r="717" spans="1:12" ht="15.75">
      <c r="A717" s="500" t="s">
        <v>386</v>
      </c>
      <c r="B717" s="500"/>
      <c r="C717" s="500"/>
      <c r="D717" s="244">
        <f>SUM(D689:D716)</f>
        <v>16000</v>
      </c>
      <c r="E717" s="244">
        <f>SUM(E689:E716)</f>
        <v>18000</v>
      </c>
      <c r="F717" s="245">
        <f>SUM(F689:F716)</f>
        <v>12.5</v>
      </c>
      <c r="G717" s="244">
        <f>SUM(G689:G716)</f>
        <v>0</v>
      </c>
      <c r="H717" s="246">
        <f t="shared" si="78"/>
        <v>0</v>
      </c>
      <c r="I717" s="260"/>
      <c r="J717" s="260"/>
      <c r="L717" s="28"/>
    </row>
    <row r="718" spans="1:12" ht="27" customHeight="1">
      <c r="A718" s="249"/>
      <c r="B718" s="250"/>
      <c r="C718" s="250"/>
      <c r="D718" s="250"/>
      <c r="E718" s="250"/>
      <c r="F718" s="250"/>
      <c r="G718" s="250"/>
      <c r="H718" s="251"/>
    </row>
    <row r="719" spans="1:12" ht="15.75">
      <c r="A719" s="507" t="s">
        <v>335</v>
      </c>
      <c r="B719" s="508"/>
      <c r="C719" s="508"/>
      <c r="D719" s="508"/>
      <c r="E719" s="508"/>
      <c r="F719" s="508"/>
      <c r="G719" s="508"/>
      <c r="H719" s="509"/>
    </row>
    <row r="720" spans="1:12" ht="27" customHeight="1">
      <c r="A720" s="249"/>
      <c r="B720" s="250"/>
      <c r="C720" s="250"/>
      <c r="D720" s="250"/>
      <c r="E720" s="250"/>
      <c r="F720" s="250"/>
      <c r="G720" s="250"/>
      <c r="H720" s="251"/>
    </row>
    <row r="721" spans="1:10" ht="27" customHeight="1">
      <c r="A721" s="249"/>
      <c r="B721" s="250"/>
      <c r="C721" s="250"/>
      <c r="D721" s="250"/>
      <c r="E721" s="250"/>
      <c r="F721" s="250"/>
      <c r="G721" s="250"/>
      <c r="H721" s="251"/>
      <c r="I721" s="262"/>
    </row>
    <row r="722" spans="1:10" ht="15.75" customHeight="1">
      <c r="A722" s="490" t="s">
        <v>463</v>
      </c>
      <c r="B722" s="491"/>
      <c r="C722" s="492" t="s">
        <v>331</v>
      </c>
      <c r="D722" s="492"/>
      <c r="E722" s="492"/>
      <c r="F722" s="492"/>
      <c r="G722" s="492"/>
      <c r="H722" s="493"/>
      <c r="I722" s="23"/>
      <c r="J722" s="23"/>
    </row>
    <row r="723" spans="1:10" ht="15.75">
      <c r="A723" s="491" t="s">
        <v>180</v>
      </c>
      <c r="B723" s="491"/>
      <c r="C723" s="492" t="s">
        <v>75</v>
      </c>
      <c r="D723" s="492"/>
      <c r="E723" s="492"/>
      <c r="F723" s="492"/>
      <c r="G723" s="492"/>
      <c r="H723" s="493"/>
      <c r="I723" s="23"/>
      <c r="J723" s="23"/>
    </row>
    <row r="724" spans="1:10" ht="15.75">
      <c r="A724" s="249"/>
      <c r="B724" s="250"/>
      <c r="C724" s="250"/>
      <c r="D724" s="250"/>
      <c r="E724" s="250"/>
      <c r="F724" s="250"/>
      <c r="G724" s="250" t="s">
        <v>464</v>
      </c>
      <c r="H724" s="251"/>
      <c r="I724" s="28"/>
      <c r="J724" s="28"/>
    </row>
    <row r="725" spans="1:10" ht="15.75">
      <c r="A725" s="494" t="s">
        <v>465</v>
      </c>
      <c r="B725" s="495"/>
      <c r="C725" s="495"/>
      <c r="D725" s="494" t="s">
        <v>466</v>
      </c>
      <c r="E725" s="495"/>
      <c r="F725" s="496"/>
      <c r="G725" s="502" t="s">
        <v>467</v>
      </c>
      <c r="H725" s="503"/>
    </row>
    <row r="726" spans="1:10" ht="15.75">
      <c r="A726" s="494" t="s">
        <v>468</v>
      </c>
      <c r="B726" s="495"/>
      <c r="C726" s="496"/>
      <c r="D726" s="494" t="s">
        <v>469</v>
      </c>
      <c r="E726" s="496"/>
      <c r="F726" s="497" t="s">
        <v>470</v>
      </c>
      <c r="G726" s="498" t="s">
        <v>471</v>
      </c>
      <c r="H726" s="498" t="s">
        <v>472</v>
      </c>
    </row>
    <row r="727" spans="1:10" ht="47.25">
      <c r="A727" s="234" t="s">
        <v>473</v>
      </c>
      <c r="B727" s="234" t="s">
        <v>474</v>
      </c>
      <c r="C727" s="235" t="s">
        <v>475</v>
      </c>
      <c r="D727" s="234" t="s">
        <v>476</v>
      </c>
      <c r="E727" s="234" t="s">
        <v>477</v>
      </c>
      <c r="F727" s="497"/>
      <c r="G727" s="499"/>
      <c r="H727" s="499"/>
    </row>
    <row r="728" spans="1:10" ht="141.75">
      <c r="A728" s="255">
        <v>1</v>
      </c>
      <c r="B728" s="242" t="s">
        <v>775</v>
      </c>
      <c r="C728" s="237" t="s">
        <v>549</v>
      </c>
      <c r="D728" s="238">
        <v>100000</v>
      </c>
      <c r="E728" s="229">
        <v>100000</v>
      </c>
      <c r="F728" s="240">
        <f t="shared" ref="F728" si="79">IFERROR(E728/D728*100-100,)</f>
        <v>0</v>
      </c>
      <c r="G728" s="238"/>
      <c r="H728" s="241"/>
    </row>
    <row r="729" spans="1:10" ht="15.75">
      <c r="A729" s="500"/>
      <c r="B729" s="500"/>
      <c r="C729" s="500"/>
      <c r="D729" s="244">
        <f>D728</f>
        <v>100000</v>
      </c>
      <c r="E729" s="244">
        <f>E728</f>
        <v>100000</v>
      </c>
      <c r="F729" s="245">
        <f>SUM(F728)</f>
        <v>0</v>
      </c>
      <c r="G729" s="244"/>
      <c r="H729" s="246"/>
      <c r="J729" s="260"/>
    </row>
    <row r="730" spans="1:10" ht="15.75">
      <c r="A730" s="258"/>
      <c r="B730" s="259"/>
      <c r="C730" s="259"/>
      <c r="D730" s="259"/>
      <c r="E730" s="259"/>
      <c r="F730" s="259"/>
      <c r="G730" s="259"/>
      <c r="H730" s="259"/>
    </row>
    <row r="731" spans="1:10" ht="15.75">
      <c r="A731" s="507" t="s">
        <v>335</v>
      </c>
      <c r="B731" s="508"/>
      <c r="C731" s="508"/>
      <c r="D731" s="508"/>
      <c r="E731" s="508"/>
      <c r="F731" s="508"/>
      <c r="G731" s="508"/>
      <c r="H731" s="509"/>
      <c r="J731" s="260"/>
    </row>
    <row r="732" spans="1:10" ht="15.75">
      <c r="A732" s="249"/>
      <c r="B732" s="250"/>
      <c r="C732" s="250"/>
      <c r="D732" s="250"/>
      <c r="E732" s="250"/>
      <c r="F732" s="250"/>
      <c r="G732" s="250"/>
      <c r="H732" s="251"/>
      <c r="J732" s="23"/>
    </row>
    <row r="733" spans="1:10" ht="15.75">
      <c r="A733" s="249"/>
      <c r="B733" s="250"/>
      <c r="C733" s="250"/>
      <c r="D733" s="250"/>
      <c r="E733" s="250"/>
      <c r="F733" s="250"/>
      <c r="G733" s="250"/>
      <c r="H733" s="251"/>
      <c r="J733" s="28"/>
    </row>
    <row r="735" spans="1:10">
      <c r="E735" s="28">
        <f>E729+E717+E678+E663+E648+E633+E618+E603+E582+E563+E551+E539+E523+E511+E492+E480+E463+E439+E422+E409+E392+E373+E349+E336+E312+E300+E288+E277+E265+E253+E241+E229+E217+E199+E159+E128+E100+E80+E40+E21</f>
        <v>12047133.76</v>
      </c>
    </row>
  </sheetData>
  <mergeCells count="2623">
    <mergeCell ref="A717:C717"/>
    <mergeCell ref="A719:H719"/>
    <mergeCell ref="A84:H84"/>
    <mergeCell ref="A47:H47"/>
    <mergeCell ref="A87:H87"/>
    <mergeCell ref="A684:B684"/>
    <mergeCell ref="C684:H684"/>
    <mergeCell ref="A686:C686"/>
    <mergeCell ref="D686:F686"/>
    <mergeCell ref="G686:H686"/>
    <mergeCell ref="A687:C687"/>
    <mergeCell ref="D687:E687"/>
    <mergeCell ref="F687:F688"/>
    <mergeCell ref="G687:G688"/>
    <mergeCell ref="H687:H688"/>
    <mergeCell ref="A678:C678"/>
    <mergeCell ref="A680:H680"/>
    <mergeCell ref="A683:B683"/>
    <mergeCell ref="C683:H683"/>
    <mergeCell ref="A669:B669"/>
    <mergeCell ref="C669:H669"/>
    <mergeCell ref="A671:C671"/>
    <mergeCell ref="D671:F671"/>
    <mergeCell ref="G671:H671"/>
    <mergeCell ref="A672:C672"/>
    <mergeCell ref="D672:E672"/>
    <mergeCell ref="F672:F673"/>
    <mergeCell ref="G672:G673"/>
    <mergeCell ref="H672:H673"/>
    <mergeCell ref="A663:C663"/>
    <mergeCell ref="A665:H665"/>
    <mergeCell ref="A668:B668"/>
    <mergeCell ref="C668:H668"/>
    <mergeCell ref="A654:B654"/>
    <mergeCell ref="C654:H654"/>
    <mergeCell ref="A656:C656"/>
    <mergeCell ref="D656:F656"/>
    <mergeCell ref="G656:H656"/>
    <mergeCell ref="A657:C657"/>
    <mergeCell ref="D657:E657"/>
    <mergeCell ref="F657:F658"/>
    <mergeCell ref="G657:G658"/>
    <mergeCell ref="H657:H658"/>
    <mergeCell ref="A605:H605"/>
    <mergeCell ref="A648:C648"/>
    <mergeCell ref="A650:H650"/>
    <mergeCell ref="A653:B653"/>
    <mergeCell ref="C653:H653"/>
    <mergeCell ref="A639:B639"/>
    <mergeCell ref="C639:H639"/>
    <mergeCell ref="A641:C641"/>
    <mergeCell ref="D641:F641"/>
    <mergeCell ref="G641:H641"/>
    <mergeCell ref="A642:C642"/>
    <mergeCell ref="D642:E642"/>
    <mergeCell ref="F642:F643"/>
    <mergeCell ref="G642:G643"/>
    <mergeCell ref="H642:H643"/>
    <mergeCell ref="A633:C633"/>
    <mergeCell ref="A635:H635"/>
    <mergeCell ref="A638:B638"/>
    <mergeCell ref="C638:H638"/>
    <mergeCell ref="A624:B624"/>
    <mergeCell ref="C624:H624"/>
    <mergeCell ref="A626:C626"/>
    <mergeCell ref="D626:F626"/>
    <mergeCell ref="G626:H626"/>
    <mergeCell ref="A627:C627"/>
    <mergeCell ref="D627:E627"/>
    <mergeCell ref="F627:F628"/>
    <mergeCell ref="G627:G628"/>
    <mergeCell ref="H627:H628"/>
    <mergeCell ref="A618:C618"/>
    <mergeCell ref="A620:H620"/>
    <mergeCell ref="A623:B623"/>
    <mergeCell ref="C623:H623"/>
    <mergeCell ref="A611:C611"/>
    <mergeCell ref="D611:F611"/>
    <mergeCell ref="G611:H611"/>
    <mergeCell ref="A612:C612"/>
    <mergeCell ref="D612:E612"/>
    <mergeCell ref="F612:F613"/>
    <mergeCell ref="G612:G613"/>
    <mergeCell ref="H612:H613"/>
    <mergeCell ref="A603:C603"/>
    <mergeCell ref="A608:B608"/>
    <mergeCell ref="C608:H608"/>
    <mergeCell ref="A609:B609"/>
    <mergeCell ref="C609:H609"/>
    <mergeCell ref="A588:B588"/>
    <mergeCell ref="C588:H588"/>
    <mergeCell ref="A590:C590"/>
    <mergeCell ref="D590:F590"/>
    <mergeCell ref="G590:H590"/>
    <mergeCell ref="A591:C591"/>
    <mergeCell ref="D591:E591"/>
    <mergeCell ref="F591:F592"/>
    <mergeCell ref="G591:G592"/>
    <mergeCell ref="H591:H592"/>
    <mergeCell ref="A582:C582"/>
    <mergeCell ref="A584:H584"/>
    <mergeCell ref="A587:B587"/>
    <mergeCell ref="C587:H587"/>
    <mergeCell ref="A569:B569"/>
    <mergeCell ref="C569:H569"/>
    <mergeCell ref="A571:C571"/>
    <mergeCell ref="D571:F571"/>
    <mergeCell ref="G571:H571"/>
    <mergeCell ref="A572:C572"/>
    <mergeCell ref="D572:E572"/>
    <mergeCell ref="F572:F573"/>
    <mergeCell ref="G572:G573"/>
    <mergeCell ref="H572:H573"/>
    <mergeCell ref="A563:C563"/>
    <mergeCell ref="A565:H565"/>
    <mergeCell ref="A568:B568"/>
    <mergeCell ref="C568:H568"/>
    <mergeCell ref="A557:B557"/>
    <mergeCell ref="C557:H557"/>
    <mergeCell ref="A559:C559"/>
    <mergeCell ref="D559:F559"/>
    <mergeCell ref="G559:H559"/>
    <mergeCell ref="A560:C560"/>
    <mergeCell ref="D560:E560"/>
    <mergeCell ref="F560:F561"/>
    <mergeCell ref="G560:G561"/>
    <mergeCell ref="H560:H561"/>
    <mergeCell ref="A551:C551"/>
    <mergeCell ref="A553:H553"/>
    <mergeCell ref="A556:B556"/>
    <mergeCell ref="C556:H556"/>
    <mergeCell ref="A545:B545"/>
    <mergeCell ref="C545:H545"/>
    <mergeCell ref="A547:C547"/>
    <mergeCell ref="D547:F547"/>
    <mergeCell ref="G547:H547"/>
    <mergeCell ref="A548:C548"/>
    <mergeCell ref="D548:E548"/>
    <mergeCell ref="F548:F549"/>
    <mergeCell ref="G548:G549"/>
    <mergeCell ref="H548:H549"/>
    <mergeCell ref="A539:C539"/>
    <mergeCell ref="A541:H541"/>
    <mergeCell ref="A544:B544"/>
    <mergeCell ref="C544:H544"/>
    <mergeCell ref="A529:B529"/>
    <mergeCell ref="C529:H529"/>
    <mergeCell ref="A531:C531"/>
    <mergeCell ref="D531:F531"/>
    <mergeCell ref="G531:H531"/>
    <mergeCell ref="A532:C532"/>
    <mergeCell ref="D532:E532"/>
    <mergeCell ref="F532:F533"/>
    <mergeCell ref="G532:G533"/>
    <mergeCell ref="H532:H533"/>
    <mergeCell ref="A523:C523"/>
    <mergeCell ref="A525:H525"/>
    <mergeCell ref="A528:B528"/>
    <mergeCell ref="C528:H528"/>
    <mergeCell ref="A517:B517"/>
    <mergeCell ref="C517:H517"/>
    <mergeCell ref="A519:C519"/>
    <mergeCell ref="D519:F519"/>
    <mergeCell ref="G519:H519"/>
    <mergeCell ref="A520:C520"/>
    <mergeCell ref="D520:E520"/>
    <mergeCell ref="F520:F521"/>
    <mergeCell ref="G520:G521"/>
    <mergeCell ref="H520:H521"/>
    <mergeCell ref="A511:C511"/>
    <mergeCell ref="A513:H513"/>
    <mergeCell ref="A516:B516"/>
    <mergeCell ref="C516:H516"/>
    <mergeCell ref="A498:B498"/>
    <mergeCell ref="C498:H498"/>
    <mergeCell ref="A500:C500"/>
    <mergeCell ref="D500:F500"/>
    <mergeCell ref="G500:H500"/>
    <mergeCell ref="A501:C501"/>
    <mergeCell ref="D501:E501"/>
    <mergeCell ref="F501:F502"/>
    <mergeCell ref="G501:G502"/>
    <mergeCell ref="H501:H502"/>
    <mergeCell ref="A492:C492"/>
    <mergeCell ref="A494:H494"/>
    <mergeCell ref="A497:B497"/>
    <mergeCell ref="C497:H497"/>
    <mergeCell ref="A486:B486"/>
    <mergeCell ref="C486:H486"/>
    <mergeCell ref="A488:C488"/>
    <mergeCell ref="D488:F488"/>
    <mergeCell ref="G488:H488"/>
    <mergeCell ref="A489:C489"/>
    <mergeCell ref="D489:E489"/>
    <mergeCell ref="F489:F490"/>
    <mergeCell ref="G489:G490"/>
    <mergeCell ref="H489:H490"/>
    <mergeCell ref="A480:C480"/>
    <mergeCell ref="A482:H482"/>
    <mergeCell ref="A485:B485"/>
    <mergeCell ref="C485:H485"/>
    <mergeCell ref="A469:B469"/>
    <mergeCell ref="C469:H469"/>
    <mergeCell ref="A471:C471"/>
    <mergeCell ref="D471:F471"/>
    <mergeCell ref="G471:H471"/>
    <mergeCell ref="A472:C472"/>
    <mergeCell ref="D472:E472"/>
    <mergeCell ref="F472:F473"/>
    <mergeCell ref="G472:G473"/>
    <mergeCell ref="H472:H473"/>
    <mergeCell ref="A463:C463"/>
    <mergeCell ref="A465:H465"/>
    <mergeCell ref="A468:B468"/>
    <mergeCell ref="C468:H468"/>
    <mergeCell ref="A445:B445"/>
    <mergeCell ref="C445:H445"/>
    <mergeCell ref="A447:C447"/>
    <mergeCell ref="D447:F447"/>
    <mergeCell ref="G447:H447"/>
    <mergeCell ref="A448:C448"/>
    <mergeCell ref="D448:E448"/>
    <mergeCell ref="F448:F449"/>
    <mergeCell ref="G448:G449"/>
    <mergeCell ref="H448:H449"/>
    <mergeCell ref="A439:C439"/>
    <mergeCell ref="A441:H441"/>
    <mergeCell ref="A444:B444"/>
    <mergeCell ref="C444:H444"/>
    <mergeCell ref="A428:B428"/>
    <mergeCell ref="C428:H428"/>
    <mergeCell ref="A430:C430"/>
    <mergeCell ref="D430:F430"/>
    <mergeCell ref="G430:H430"/>
    <mergeCell ref="A431:C431"/>
    <mergeCell ref="D431:E431"/>
    <mergeCell ref="F431:F432"/>
    <mergeCell ref="G431:G432"/>
    <mergeCell ref="H431:H432"/>
    <mergeCell ref="A422:C422"/>
    <mergeCell ref="A424:H424"/>
    <mergeCell ref="A427:B427"/>
    <mergeCell ref="C427:H427"/>
    <mergeCell ref="A415:B415"/>
    <mergeCell ref="C415:H415"/>
    <mergeCell ref="A417:C417"/>
    <mergeCell ref="D417:F417"/>
    <mergeCell ref="G417:H417"/>
    <mergeCell ref="A418:C418"/>
    <mergeCell ref="D418:E418"/>
    <mergeCell ref="F418:F419"/>
    <mergeCell ref="G418:G419"/>
    <mergeCell ref="H418:H419"/>
    <mergeCell ref="A409:C409"/>
    <mergeCell ref="A411:H411"/>
    <mergeCell ref="A414:B414"/>
    <mergeCell ref="C414:H414"/>
    <mergeCell ref="A398:B398"/>
    <mergeCell ref="C398:H398"/>
    <mergeCell ref="A400:C400"/>
    <mergeCell ref="D400:F400"/>
    <mergeCell ref="G400:H400"/>
    <mergeCell ref="A401:C401"/>
    <mergeCell ref="D401:E401"/>
    <mergeCell ref="F401:F402"/>
    <mergeCell ref="G401:G402"/>
    <mergeCell ref="H401:H402"/>
    <mergeCell ref="A392:C392"/>
    <mergeCell ref="A394:H394"/>
    <mergeCell ref="A397:B397"/>
    <mergeCell ref="C397:H397"/>
    <mergeCell ref="A379:B379"/>
    <mergeCell ref="C379:H379"/>
    <mergeCell ref="A381:C381"/>
    <mergeCell ref="D381:F381"/>
    <mergeCell ref="G381:H381"/>
    <mergeCell ref="A382:C382"/>
    <mergeCell ref="D382:E382"/>
    <mergeCell ref="F382:F383"/>
    <mergeCell ref="G382:G383"/>
    <mergeCell ref="H382:H383"/>
    <mergeCell ref="A373:C373"/>
    <mergeCell ref="A375:H375"/>
    <mergeCell ref="A378:B378"/>
    <mergeCell ref="C378:H378"/>
    <mergeCell ref="A355:B355"/>
    <mergeCell ref="C355:H355"/>
    <mergeCell ref="A357:C357"/>
    <mergeCell ref="D357:F357"/>
    <mergeCell ref="G357:H357"/>
    <mergeCell ref="A358:C358"/>
    <mergeCell ref="D358:E358"/>
    <mergeCell ref="F358:F359"/>
    <mergeCell ref="G358:G359"/>
    <mergeCell ref="H358:H359"/>
    <mergeCell ref="A349:C349"/>
    <mergeCell ref="A351:H351"/>
    <mergeCell ref="A354:B354"/>
    <mergeCell ref="C354:H354"/>
    <mergeCell ref="A342:B342"/>
    <mergeCell ref="C342:H342"/>
    <mergeCell ref="A344:C344"/>
    <mergeCell ref="D344:F344"/>
    <mergeCell ref="G344:H344"/>
    <mergeCell ref="A345:C345"/>
    <mergeCell ref="D345:E345"/>
    <mergeCell ref="F345:F346"/>
    <mergeCell ref="G345:G346"/>
    <mergeCell ref="H345:H346"/>
    <mergeCell ref="A336:C336"/>
    <mergeCell ref="A338:H338"/>
    <mergeCell ref="A341:B341"/>
    <mergeCell ref="C341:H341"/>
    <mergeCell ref="A318:B318"/>
    <mergeCell ref="C318:H318"/>
    <mergeCell ref="A320:C320"/>
    <mergeCell ref="D320:F320"/>
    <mergeCell ref="G320:H320"/>
    <mergeCell ref="A321:C321"/>
    <mergeCell ref="D321:E321"/>
    <mergeCell ref="F321:F322"/>
    <mergeCell ref="G321:G322"/>
    <mergeCell ref="H321:H322"/>
    <mergeCell ref="A312:C312"/>
    <mergeCell ref="A314:H314"/>
    <mergeCell ref="A317:B317"/>
    <mergeCell ref="C317:H317"/>
    <mergeCell ref="A306:B306"/>
    <mergeCell ref="C306:H306"/>
    <mergeCell ref="A308:C308"/>
    <mergeCell ref="D308:F308"/>
    <mergeCell ref="G308:H308"/>
    <mergeCell ref="A309:C309"/>
    <mergeCell ref="D309:E309"/>
    <mergeCell ref="F309:F310"/>
    <mergeCell ref="G309:G310"/>
    <mergeCell ref="H309:H310"/>
    <mergeCell ref="A300:C300"/>
    <mergeCell ref="A301:H301"/>
    <mergeCell ref="A302:H302"/>
    <mergeCell ref="A305:B305"/>
    <mergeCell ref="C305:H305"/>
    <mergeCell ref="A294:B294"/>
    <mergeCell ref="C294:H294"/>
    <mergeCell ref="A296:C296"/>
    <mergeCell ref="D296:F296"/>
    <mergeCell ref="G296:H296"/>
    <mergeCell ref="A297:C297"/>
    <mergeCell ref="D297:E297"/>
    <mergeCell ref="F297:F298"/>
    <mergeCell ref="G297:G298"/>
    <mergeCell ref="H297:H298"/>
    <mergeCell ref="A288:C288"/>
    <mergeCell ref="A290:H290"/>
    <mergeCell ref="A293:B293"/>
    <mergeCell ref="C293:H293"/>
    <mergeCell ref="A284:C284"/>
    <mergeCell ref="D284:F284"/>
    <mergeCell ref="G284:H284"/>
    <mergeCell ref="A285:C285"/>
    <mergeCell ref="D285:E285"/>
    <mergeCell ref="F285:F286"/>
    <mergeCell ref="G285:G286"/>
    <mergeCell ref="H285:H286"/>
    <mergeCell ref="A277:C277"/>
    <mergeCell ref="A278:H278"/>
    <mergeCell ref="A281:B281"/>
    <mergeCell ref="C281:H281"/>
    <mergeCell ref="A282:B282"/>
    <mergeCell ref="C282:H282"/>
    <mergeCell ref="A271:B271"/>
    <mergeCell ref="C271:H271"/>
    <mergeCell ref="A273:C273"/>
    <mergeCell ref="D273:F273"/>
    <mergeCell ref="G273:H273"/>
    <mergeCell ref="A274:C274"/>
    <mergeCell ref="D274:E274"/>
    <mergeCell ref="F274:F275"/>
    <mergeCell ref="G274:G275"/>
    <mergeCell ref="H274:H275"/>
    <mergeCell ref="A265:C265"/>
    <mergeCell ref="A267:H267"/>
    <mergeCell ref="A270:B270"/>
    <mergeCell ref="C270:H270"/>
    <mergeCell ref="A259:B259"/>
    <mergeCell ref="C259:H259"/>
    <mergeCell ref="A261:C261"/>
    <mergeCell ref="D261:F261"/>
    <mergeCell ref="G261:H261"/>
    <mergeCell ref="A262:C262"/>
    <mergeCell ref="D262:E262"/>
    <mergeCell ref="F262:F263"/>
    <mergeCell ref="G262:G263"/>
    <mergeCell ref="H262:H263"/>
    <mergeCell ref="A253:C253"/>
    <mergeCell ref="A255:H255"/>
    <mergeCell ref="A258:B258"/>
    <mergeCell ref="C258:H258"/>
    <mergeCell ref="A247:B247"/>
    <mergeCell ref="C247:H247"/>
    <mergeCell ref="A249:C249"/>
    <mergeCell ref="D249:F249"/>
    <mergeCell ref="G249:H249"/>
    <mergeCell ref="A250:C250"/>
    <mergeCell ref="D250:E250"/>
    <mergeCell ref="F250:F251"/>
    <mergeCell ref="G250:G251"/>
    <mergeCell ref="H250:H251"/>
    <mergeCell ref="A241:C241"/>
    <mergeCell ref="A243:H243"/>
    <mergeCell ref="A246:B246"/>
    <mergeCell ref="C246:H246"/>
    <mergeCell ref="A235:B235"/>
    <mergeCell ref="C235:H235"/>
    <mergeCell ref="A237:C237"/>
    <mergeCell ref="D237:F237"/>
    <mergeCell ref="G237:H237"/>
    <mergeCell ref="A238:C238"/>
    <mergeCell ref="D238:E238"/>
    <mergeCell ref="F238:F239"/>
    <mergeCell ref="G238:G239"/>
    <mergeCell ref="H238:H239"/>
    <mergeCell ref="A229:C229"/>
    <mergeCell ref="A231:H231"/>
    <mergeCell ref="A234:B234"/>
    <mergeCell ref="C234:H234"/>
    <mergeCell ref="A223:B223"/>
    <mergeCell ref="C223:H223"/>
    <mergeCell ref="A225:C225"/>
    <mergeCell ref="D225:F225"/>
    <mergeCell ref="G225:H225"/>
    <mergeCell ref="A226:C226"/>
    <mergeCell ref="D226:E226"/>
    <mergeCell ref="F226:F227"/>
    <mergeCell ref="G226:G227"/>
    <mergeCell ref="H226:H227"/>
    <mergeCell ref="A217:C217"/>
    <mergeCell ref="A219:H219"/>
    <mergeCell ref="A222:B222"/>
    <mergeCell ref="C222:H222"/>
    <mergeCell ref="A205:B205"/>
    <mergeCell ref="C205:H205"/>
    <mergeCell ref="A207:C207"/>
    <mergeCell ref="D207:F207"/>
    <mergeCell ref="G207:H207"/>
    <mergeCell ref="A208:C208"/>
    <mergeCell ref="D208:E208"/>
    <mergeCell ref="F208:F209"/>
    <mergeCell ref="G208:G209"/>
    <mergeCell ref="H208:H209"/>
    <mergeCell ref="A199:C199"/>
    <mergeCell ref="A201:H201"/>
    <mergeCell ref="A204:B204"/>
    <mergeCell ref="C204:H204"/>
    <mergeCell ref="A167:C167"/>
    <mergeCell ref="D167:F167"/>
    <mergeCell ref="G167:H167"/>
    <mergeCell ref="A168:C168"/>
    <mergeCell ref="D168:E168"/>
    <mergeCell ref="F168:F169"/>
    <mergeCell ref="G168:G169"/>
    <mergeCell ref="H168:H169"/>
    <mergeCell ref="A161:H161"/>
    <mergeCell ref="A164:B164"/>
    <mergeCell ref="C164:H164"/>
    <mergeCell ref="A165:B165"/>
    <mergeCell ref="C165:H165"/>
    <mergeCell ref="A159:C159"/>
    <mergeCell ref="A134:B134"/>
    <mergeCell ref="C134:H134"/>
    <mergeCell ref="A136:C136"/>
    <mergeCell ref="D136:F136"/>
    <mergeCell ref="G136:H136"/>
    <mergeCell ref="A137:C137"/>
    <mergeCell ref="D137:E137"/>
    <mergeCell ref="F137:F138"/>
    <mergeCell ref="G137:G138"/>
    <mergeCell ref="H137:H138"/>
    <mergeCell ref="A128:C128"/>
    <mergeCell ref="A130:H130"/>
    <mergeCell ref="A133:B133"/>
    <mergeCell ref="C133:H133"/>
    <mergeCell ref="D109:E109"/>
    <mergeCell ref="F109:F110"/>
    <mergeCell ref="G109:G110"/>
    <mergeCell ref="H109:H110"/>
    <mergeCell ref="A100:C100"/>
    <mergeCell ref="A101:H101"/>
    <mergeCell ref="A102:H102"/>
    <mergeCell ref="A103:H103"/>
    <mergeCell ref="A105:B105"/>
    <mergeCell ref="C105:H105"/>
    <mergeCell ref="A88:C88"/>
    <mergeCell ref="D88:F88"/>
    <mergeCell ref="G88:H88"/>
    <mergeCell ref="A89:C89"/>
    <mergeCell ref="D89:E89"/>
    <mergeCell ref="F89:F90"/>
    <mergeCell ref="G89:G90"/>
    <mergeCell ref="H89:H90"/>
    <mergeCell ref="XDI22:XDP22"/>
    <mergeCell ref="XDQ22:XDX22"/>
    <mergeCell ref="XDY22:XEF22"/>
    <mergeCell ref="XEG22:XEN22"/>
    <mergeCell ref="XEO22:XEV22"/>
    <mergeCell ref="XEW22:XFD22"/>
    <mergeCell ref="XBM22:XBT22"/>
    <mergeCell ref="XBU22:XCB22"/>
    <mergeCell ref="XCC22:XCJ22"/>
    <mergeCell ref="XCK22:XCR22"/>
    <mergeCell ref="XCS22:XCZ22"/>
    <mergeCell ref="XDA22:XDH22"/>
    <mergeCell ref="WZQ22:WZX22"/>
    <mergeCell ref="WZY22:XAF22"/>
    <mergeCell ref="XAG22:XAN22"/>
    <mergeCell ref="XAO22:XAV22"/>
    <mergeCell ref="XAW22:XBD22"/>
    <mergeCell ref="XBE22:XBL22"/>
    <mergeCell ref="WXU22:WYB22"/>
    <mergeCell ref="WYC22:WYJ22"/>
    <mergeCell ref="WYK22:WYR22"/>
    <mergeCell ref="WYS22:WYZ22"/>
    <mergeCell ref="WZA22:WZH22"/>
    <mergeCell ref="WZI22:WZP22"/>
    <mergeCell ref="WVY22:WWF22"/>
    <mergeCell ref="WWG22:WWN22"/>
    <mergeCell ref="WWO22:WWV22"/>
    <mergeCell ref="WWW22:WXD22"/>
    <mergeCell ref="WXE22:WXL22"/>
    <mergeCell ref="WXM22:WXT22"/>
    <mergeCell ref="WUC22:WUJ22"/>
    <mergeCell ref="WUK22:WUR22"/>
    <mergeCell ref="WUS22:WUZ22"/>
    <mergeCell ref="WVA22:WVH22"/>
    <mergeCell ref="WVI22:WVP22"/>
    <mergeCell ref="WVQ22:WVX22"/>
    <mergeCell ref="WSG22:WSN22"/>
    <mergeCell ref="WSO22:WSV22"/>
    <mergeCell ref="WSW22:WTD22"/>
    <mergeCell ref="WTE22:WTL22"/>
    <mergeCell ref="WTM22:WTT22"/>
    <mergeCell ref="WTU22:WUB22"/>
    <mergeCell ref="WQK22:WQR22"/>
    <mergeCell ref="WQS22:WQZ22"/>
    <mergeCell ref="WRA22:WRH22"/>
    <mergeCell ref="WRI22:WRP22"/>
    <mergeCell ref="WRQ22:WRX22"/>
    <mergeCell ref="WRY22:WSF22"/>
    <mergeCell ref="WOO22:WOV22"/>
    <mergeCell ref="WOW22:WPD22"/>
    <mergeCell ref="WPE22:WPL22"/>
    <mergeCell ref="WPM22:WPT22"/>
    <mergeCell ref="WPU22:WQB22"/>
    <mergeCell ref="WQC22:WQJ22"/>
    <mergeCell ref="WMS22:WMZ22"/>
    <mergeCell ref="WNA22:WNH22"/>
    <mergeCell ref="WNI22:WNP22"/>
    <mergeCell ref="WNQ22:WNX22"/>
    <mergeCell ref="WNY22:WOF22"/>
    <mergeCell ref="WOG22:WON22"/>
    <mergeCell ref="WKW22:WLD22"/>
    <mergeCell ref="WLE22:WLL22"/>
    <mergeCell ref="WLM22:WLT22"/>
    <mergeCell ref="WLU22:WMB22"/>
    <mergeCell ref="WMC22:WMJ22"/>
    <mergeCell ref="WMK22:WMR22"/>
    <mergeCell ref="WJA22:WJH22"/>
    <mergeCell ref="WJI22:WJP22"/>
    <mergeCell ref="WJQ22:WJX22"/>
    <mergeCell ref="WJY22:WKF22"/>
    <mergeCell ref="WKG22:WKN22"/>
    <mergeCell ref="WKO22:WKV22"/>
    <mergeCell ref="WHE22:WHL22"/>
    <mergeCell ref="WHM22:WHT22"/>
    <mergeCell ref="WHU22:WIB22"/>
    <mergeCell ref="WIC22:WIJ22"/>
    <mergeCell ref="WIK22:WIR22"/>
    <mergeCell ref="WIS22:WIZ22"/>
    <mergeCell ref="WFI22:WFP22"/>
    <mergeCell ref="WFQ22:WFX22"/>
    <mergeCell ref="WFY22:WGF22"/>
    <mergeCell ref="WGG22:WGN22"/>
    <mergeCell ref="WGO22:WGV22"/>
    <mergeCell ref="WGW22:WHD22"/>
    <mergeCell ref="WDM22:WDT22"/>
    <mergeCell ref="WDU22:WEB22"/>
    <mergeCell ref="WEC22:WEJ22"/>
    <mergeCell ref="WEK22:WER22"/>
    <mergeCell ref="WES22:WEZ22"/>
    <mergeCell ref="WFA22:WFH22"/>
    <mergeCell ref="WBQ22:WBX22"/>
    <mergeCell ref="WBY22:WCF22"/>
    <mergeCell ref="WCG22:WCN22"/>
    <mergeCell ref="WCO22:WCV22"/>
    <mergeCell ref="WCW22:WDD22"/>
    <mergeCell ref="WDE22:WDL22"/>
    <mergeCell ref="VZU22:WAB22"/>
    <mergeCell ref="WAC22:WAJ22"/>
    <mergeCell ref="WAK22:WAR22"/>
    <mergeCell ref="WAS22:WAZ22"/>
    <mergeCell ref="WBA22:WBH22"/>
    <mergeCell ref="WBI22:WBP22"/>
    <mergeCell ref="VXY22:VYF22"/>
    <mergeCell ref="VYG22:VYN22"/>
    <mergeCell ref="VYO22:VYV22"/>
    <mergeCell ref="VYW22:VZD22"/>
    <mergeCell ref="VZE22:VZL22"/>
    <mergeCell ref="VZM22:VZT22"/>
    <mergeCell ref="VWC22:VWJ22"/>
    <mergeCell ref="VWK22:VWR22"/>
    <mergeCell ref="VWS22:VWZ22"/>
    <mergeCell ref="VXA22:VXH22"/>
    <mergeCell ref="VXI22:VXP22"/>
    <mergeCell ref="VXQ22:VXX22"/>
    <mergeCell ref="VUG22:VUN22"/>
    <mergeCell ref="VUO22:VUV22"/>
    <mergeCell ref="VUW22:VVD22"/>
    <mergeCell ref="VVE22:VVL22"/>
    <mergeCell ref="VVM22:VVT22"/>
    <mergeCell ref="VVU22:VWB22"/>
    <mergeCell ref="VSK22:VSR22"/>
    <mergeCell ref="VSS22:VSZ22"/>
    <mergeCell ref="VTA22:VTH22"/>
    <mergeCell ref="VTI22:VTP22"/>
    <mergeCell ref="VTQ22:VTX22"/>
    <mergeCell ref="VTY22:VUF22"/>
    <mergeCell ref="VQO22:VQV22"/>
    <mergeCell ref="VQW22:VRD22"/>
    <mergeCell ref="VRE22:VRL22"/>
    <mergeCell ref="VRM22:VRT22"/>
    <mergeCell ref="VRU22:VSB22"/>
    <mergeCell ref="VSC22:VSJ22"/>
    <mergeCell ref="VOS22:VOZ22"/>
    <mergeCell ref="VPA22:VPH22"/>
    <mergeCell ref="VPI22:VPP22"/>
    <mergeCell ref="VPQ22:VPX22"/>
    <mergeCell ref="VPY22:VQF22"/>
    <mergeCell ref="VQG22:VQN22"/>
    <mergeCell ref="VMW22:VND22"/>
    <mergeCell ref="VNE22:VNL22"/>
    <mergeCell ref="VNM22:VNT22"/>
    <mergeCell ref="VNU22:VOB22"/>
    <mergeCell ref="VOC22:VOJ22"/>
    <mergeCell ref="VOK22:VOR22"/>
    <mergeCell ref="VLA22:VLH22"/>
    <mergeCell ref="VLI22:VLP22"/>
    <mergeCell ref="VLQ22:VLX22"/>
    <mergeCell ref="VLY22:VMF22"/>
    <mergeCell ref="VMG22:VMN22"/>
    <mergeCell ref="VMO22:VMV22"/>
    <mergeCell ref="VJE22:VJL22"/>
    <mergeCell ref="VJM22:VJT22"/>
    <mergeCell ref="VJU22:VKB22"/>
    <mergeCell ref="VKC22:VKJ22"/>
    <mergeCell ref="VKK22:VKR22"/>
    <mergeCell ref="VKS22:VKZ22"/>
    <mergeCell ref="VHI22:VHP22"/>
    <mergeCell ref="VHQ22:VHX22"/>
    <mergeCell ref="VHY22:VIF22"/>
    <mergeCell ref="VIG22:VIN22"/>
    <mergeCell ref="VIO22:VIV22"/>
    <mergeCell ref="VIW22:VJD22"/>
    <mergeCell ref="VFM22:VFT22"/>
    <mergeCell ref="VFU22:VGB22"/>
    <mergeCell ref="VGC22:VGJ22"/>
    <mergeCell ref="VGK22:VGR22"/>
    <mergeCell ref="VGS22:VGZ22"/>
    <mergeCell ref="VHA22:VHH22"/>
    <mergeCell ref="VDQ22:VDX22"/>
    <mergeCell ref="VDY22:VEF22"/>
    <mergeCell ref="VEG22:VEN22"/>
    <mergeCell ref="VEO22:VEV22"/>
    <mergeCell ref="VEW22:VFD22"/>
    <mergeCell ref="VFE22:VFL22"/>
    <mergeCell ref="VBU22:VCB22"/>
    <mergeCell ref="VCC22:VCJ22"/>
    <mergeCell ref="VCK22:VCR22"/>
    <mergeCell ref="VCS22:VCZ22"/>
    <mergeCell ref="VDA22:VDH22"/>
    <mergeCell ref="VDI22:VDP22"/>
    <mergeCell ref="UZY22:VAF22"/>
    <mergeCell ref="VAG22:VAN22"/>
    <mergeCell ref="VAO22:VAV22"/>
    <mergeCell ref="VAW22:VBD22"/>
    <mergeCell ref="VBE22:VBL22"/>
    <mergeCell ref="VBM22:VBT22"/>
    <mergeCell ref="UYC22:UYJ22"/>
    <mergeCell ref="UYK22:UYR22"/>
    <mergeCell ref="UYS22:UYZ22"/>
    <mergeCell ref="UZA22:UZH22"/>
    <mergeCell ref="UZI22:UZP22"/>
    <mergeCell ref="UZQ22:UZX22"/>
    <mergeCell ref="UWG22:UWN22"/>
    <mergeCell ref="UWO22:UWV22"/>
    <mergeCell ref="UWW22:UXD22"/>
    <mergeCell ref="UXE22:UXL22"/>
    <mergeCell ref="UXM22:UXT22"/>
    <mergeCell ref="UXU22:UYB22"/>
    <mergeCell ref="UUK22:UUR22"/>
    <mergeCell ref="UUS22:UUZ22"/>
    <mergeCell ref="UVA22:UVH22"/>
    <mergeCell ref="UVI22:UVP22"/>
    <mergeCell ref="UVQ22:UVX22"/>
    <mergeCell ref="UVY22:UWF22"/>
    <mergeCell ref="USO22:USV22"/>
    <mergeCell ref="USW22:UTD22"/>
    <mergeCell ref="UTE22:UTL22"/>
    <mergeCell ref="UTM22:UTT22"/>
    <mergeCell ref="UTU22:UUB22"/>
    <mergeCell ref="UUC22:UUJ22"/>
    <mergeCell ref="UQS22:UQZ22"/>
    <mergeCell ref="URA22:URH22"/>
    <mergeCell ref="URI22:URP22"/>
    <mergeCell ref="URQ22:URX22"/>
    <mergeCell ref="URY22:USF22"/>
    <mergeCell ref="USG22:USN22"/>
    <mergeCell ref="UOW22:UPD22"/>
    <mergeCell ref="UPE22:UPL22"/>
    <mergeCell ref="UPM22:UPT22"/>
    <mergeCell ref="UPU22:UQB22"/>
    <mergeCell ref="UQC22:UQJ22"/>
    <mergeCell ref="UQK22:UQR22"/>
    <mergeCell ref="UNA22:UNH22"/>
    <mergeCell ref="UNI22:UNP22"/>
    <mergeCell ref="UNQ22:UNX22"/>
    <mergeCell ref="UNY22:UOF22"/>
    <mergeCell ref="UOG22:UON22"/>
    <mergeCell ref="UOO22:UOV22"/>
    <mergeCell ref="ULE22:ULL22"/>
    <mergeCell ref="ULM22:ULT22"/>
    <mergeCell ref="ULU22:UMB22"/>
    <mergeCell ref="UMC22:UMJ22"/>
    <mergeCell ref="UMK22:UMR22"/>
    <mergeCell ref="UMS22:UMZ22"/>
    <mergeCell ref="UJI22:UJP22"/>
    <mergeCell ref="UJQ22:UJX22"/>
    <mergeCell ref="UJY22:UKF22"/>
    <mergeCell ref="UKG22:UKN22"/>
    <mergeCell ref="UKO22:UKV22"/>
    <mergeCell ref="UKW22:ULD22"/>
    <mergeCell ref="UHM22:UHT22"/>
    <mergeCell ref="UHU22:UIB22"/>
    <mergeCell ref="UIC22:UIJ22"/>
    <mergeCell ref="UIK22:UIR22"/>
    <mergeCell ref="UIS22:UIZ22"/>
    <mergeCell ref="UJA22:UJH22"/>
    <mergeCell ref="UFQ22:UFX22"/>
    <mergeCell ref="UFY22:UGF22"/>
    <mergeCell ref="UGG22:UGN22"/>
    <mergeCell ref="UGO22:UGV22"/>
    <mergeCell ref="UGW22:UHD22"/>
    <mergeCell ref="UHE22:UHL22"/>
    <mergeCell ref="UDU22:UEB22"/>
    <mergeCell ref="UEC22:UEJ22"/>
    <mergeCell ref="UEK22:UER22"/>
    <mergeCell ref="UES22:UEZ22"/>
    <mergeCell ref="UFA22:UFH22"/>
    <mergeCell ref="UFI22:UFP22"/>
    <mergeCell ref="UBY22:UCF22"/>
    <mergeCell ref="UCG22:UCN22"/>
    <mergeCell ref="UCO22:UCV22"/>
    <mergeCell ref="UCW22:UDD22"/>
    <mergeCell ref="UDE22:UDL22"/>
    <mergeCell ref="UDM22:UDT22"/>
    <mergeCell ref="UAC22:UAJ22"/>
    <mergeCell ref="UAK22:UAR22"/>
    <mergeCell ref="UAS22:UAZ22"/>
    <mergeCell ref="UBA22:UBH22"/>
    <mergeCell ref="UBI22:UBP22"/>
    <mergeCell ref="UBQ22:UBX22"/>
    <mergeCell ref="TYG22:TYN22"/>
    <mergeCell ref="TYO22:TYV22"/>
    <mergeCell ref="TYW22:TZD22"/>
    <mergeCell ref="TZE22:TZL22"/>
    <mergeCell ref="TZM22:TZT22"/>
    <mergeCell ref="TZU22:UAB22"/>
    <mergeCell ref="TWK22:TWR22"/>
    <mergeCell ref="TWS22:TWZ22"/>
    <mergeCell ref="TXA22:TXH22"/>
    <mergeCell ref="TXI22:TXP22"/>
    <mergeCell ref="TXQ22:TXX22"/>
    <mergeCell ref="TXY22:TYF22"/>
    <mergeCell ref="TUO22:TUV22"/>
    <mergeCell ref="TUW22:TVD22"/>
    <mergeCell ref="TVE22:TVL22"/>
    <mergeCell ref="TVM22:TVT22"/>
    <mergeCell ref="TVU22:TWB22"/>
    <mergeCell ref="TWC22:TWJ22"/>
    <mergeCell ref="TSS22:TSZ22"/>
    <mergeCell ref="TTA22:TTH22"/>
    <mergeCell ref="TTI22:TTP22"/>
    <mergeCell ref="TTQ22:TTX22"/>
    <mergeCell ref="TTY22:TUF22"/>
    <mergeCell ref="TUG22:TUN22"/>
    <mergeCell ref="TQW22:TRD22"/>
    <mergeCell ref="TRE22:TRL22"/>
    <mergeCell ref="TRM22:TRT22"/>
    <mergeCell ref="TRU22:TSB22"/>
    <mergeCell ref="TSC22:TSJ22"/>
    <mergeCell ref="TSK22:TSR22"/>
    <mergeCell ref="TPA22:TPH22"/>
    <mergeCell ref="TPI22:TPP22"/>
    <mergeCell ref="TPQ22:TPX22"/>
    <mergeCell ref="TPY22:TQF22"/>
    <mergeCell ref="TQG22:TQN22"/>
    <mergeCell ref="TQO22:TQV22"/>
    <mergeCell ref="TNE22:TNL22"/>
    <mergeCell ref="TNM22:TNT22"/>
    <mergeCell ref="TNU22:TOB22"/>
    <mergeCell ref="TOC22:TOJ22"/>
    <mergeCell ref="TOK22:TOR22"/>
    <mergeCell ref="TOS22:TOZ22"/>
    <mergeCell ref="TLI22:TLP22"/>
    <mergeCell ref="TLQ22:TLX22"/>
    <mergeCell ref="TLY22:TMF22"/>
    <mergeCell ref="TMG22:TMN22"/>
    <mergeCell ref="TMO22:TMV22"/>
    <mergeCell ref="TMW22:TND22"/>
    <mergeCell ref="TJM22:TJT22"/>
    <mergeCell ref="TJU22:TKB22"/>
    <mergeCell ref="TKC22:TKJ22"/>
    <mergeCell ref="TKK22:TKR22"/>
    <mergeCell ref="TKS22:TKZ22"/>
    <mergeCell ref="TLA22:TLH22"/>
    <mergeCell ref="THQ22:THX22"/>
    <mergeCell ref="THY22:TIF22"/>
    <mergeCell ref="TIG22:TIN22"/>
    <mergeCell ref="TIO22:TIV22"/>
    <mergeCell ref="TIW22:TJD22"/>
    <mergeCell ref="TJE22:TJL22"/>
    <mergeCell ref="TFU22:TGB22"/>
    <mergeCell ref="TGC22:TGJ22"/>
    <mergeCell ref="TGK22:TGR22"/>
    <mergeCell ref="TGS22:TGZ22"/>
    <mergeCell ref="THA22:THH22"/>
    <mergeCell ref="THI22:THP22"/>
    <mergeCell ref="TDY22:TEF22"/>
    <mergeCell ref="TEG22:TEN22"/>
    <mergeCell ref="TEO22:TEV22"/>
    <mergeCell ref="TEW22:TFD22"/>
    <mergeCell ref="TFE22:TFL22"/>
    <mergeCell ref="TFM22:TFT22"/>
    <mergeCell ref="TCC22:TCJ22"/>
    <mergeCell ref="TCK22:TCR22"/>
    <mergeCell ref="TCS22:TCZ22"/>
    <mergeCell ref="TDA22:TDH22"/>
    <mergeCell ref="TDI22:TDP22"/>
    <mergeCell ref="TDQ22:TDX22"/>
    <mergeCell ref="TAG22:TAN22"/>
    <mergeCell ref="TAO22:TAV22"/>
    <mergeCell ref="TAW22:TBD22"/>
    <mergeCell ref="TBE22:TBL22"/>
    <mergeCell ref="TBM22:TBT22"/>
    <mergeCell ref="TBU22:TCB22"/>
    <mergeCell ref="SYK22:SYR22"/>
    <mergeCell ref="SYS22:SYZ22"/>
    <mergeCell ref="SZA22:SZH22"/>
    <mergeCell ref="SZI22:SZP22"/>
    <mergeCell ref="SZQ22:SZX22"/>
    <mergeCell ref="SZY22:TAF22"/>
    <mergeCell ref="SWO22:SWV22"/>
    <mergeCell ref="SWW22:SXD22"/>
    <mergeCell ref="SXE22:SXL22"/>
    <mergeCell ref="SXM22:SXT22"/>
    <mergeCell ref="SXU22:SYB22"/>
    <mergeCell ref="SYC22:SYJ22"/>
    <mergeCell ref="SUS22:SUZ22"/>
    <mergeCell ref="SVA22:SVH22"/>
    <mergeCell ref="SVI22:SVP22"/>
    <mergeCell ref="SVQ22:SVX22"/>
    <mergeCell ref="SVY22:SWF22"/>
    <mergeCell ref="SWG22:SWN22"/>
    <mergeCell ref="SSW22:STD22"/>
    <mergeCell ref="STE22:STL22"/>
    <mergeCell ref="STM22:STT22"/>
    <mergeCell ref="STU22:SUB22"/>
    <mergeCell ref="SUC22:SUJ22"/>
    <mergeCell ref="SUK22:SUR22"/>
    <mergeCell ref="SRA22:SRH22"/>
    <mergeCell ref="SRI22:SRP22"/>
    <mergeCell ref="SRQ22:SRX22"/>
    <mergeCell ref="SRY22:SSF22"/>
    <mergeCell ref="SSG22:SSN22"/>
    <mergeCell ref="SSO22:SSV22"/>
    <mergeCell ref="SPE22:SPL22"/>
    <mergeCell ref="SPM22:SPT22"/>
    <mergeCell ref="SPU22:SQB22"/>
    <mergeCell ref="SQC22:SQJ22"/>
    <mergeCell ref="SQK22:SQR22"/>
    <mergeCell ref="SQS22:SQZ22"/>
    <mergeCell ref="SNI22:SNP22"/>
    <mergeCell ref="SNQ22:SNX22"/>
    <mergeCell ref="SNY22:SOF22"/>
    <mergeCell ref="SOG22:SON22"/>
    <mergeCell ref="SOO22:SOV22"/>
    <mergeCell ref="SOW22:SPD22"/>
    <mergeCell ref="SLM22:SLT22"/>
    <mergeCell ref="SLU22:SMB22"/>
    <mergeCell ref="SMC22:SMJ22"/>
    <mergeCell ref="SMK22:SMR22"/>
    <mergeCell ref="SMS22:SMZ22"/>
    <mergeCell ref="SNA22:SNH22"/>
    <mergeCell ref="SJQ22:SJX22"/>
    <mergeCell ref="SJY22:SKF22"/>
    <mergeCell ref="SKG22:SKN22"/>
    <mergeCell ref="SKO22:SKV22"/>
    <mergeCell ref="SKW22:SLD22"/>
    <mergeCell ref="SLE22:SLL22"/>
    <mergeCell ref="SHU22:SIB22"/>
    <mergeCell ref="SIC22:SIJ22"/>
    <mergeCell ref="SIK22:SIR22"/>
    <mergeCell ref="SIS22:SIZ22"/>
    <mergeCell ref="SJA22:SJH22"/>
    <mergeCell ref="SJI22:SJP22"/>
    <mergeCell ref="SFY22:SGF22"/>
    <mergeCell ref="SGG22:SGN22"/>
    <mergeCell ref="SGO22:SGV22"/>
    <mergeCell ref="SGW22:SHD22"/>
    <mergeCell ref="SHE22:SHL22"/>
    <mergeCell ref="SHM22:SHT22"/>
    <mergeCell ref="SEC22:SEJ22"/>
    <mergeCell ref="SEK22:SER22"/>
    <mergeCell ref="SES22:SEZ22"/>
    <mergeCell ref="SFA22:SFH22"/>
    <mergeCell ref="SFI22:SFP22"/>
    <mergeCell ref="SFQ22:SFX22"/>
    <mergeCell ref="SCG22:SCN22"/>
    <mergeCell ref="SCO22:SCV22"/>
    <mergeCell ref="SCW22:SDD22"/>
    <mergeCell ref="SDE22:SDL22"/>
    <mergeCell ref="SDM22:SDT22"/>
    <mergeCell ref="SDU22:SEB22"/>
    <mergeCell ref="SAK22:SAR22"/>
    <mergeCell ref="SAS22:SAZ22"/>
    <mergeCell ref="SBA22:SBH22"/>
    <mergeCell ref="SBI22:SBP22"/>
    <mergeCell ref="SBQ22:SBX22"/>
    <mergeCell ref="SBY22:SCF22"/>
    <mergeCell ref="RYO22:RYV22"/>
    <mergeCell ref="RYW22:RZD22"/>
    <mergeCell ref="RZE22:RZL22"/>
    <mergeCell ref="RZM22:RZT22"/>
    <mergeCell ref="RZU22:SAB22"/>
    <mergeCell ref="SAC22:SAJ22"/>
    <mergeCell ref="RWS22:RWZ22"/>
    <mergeCell ref="RXA22:RXH22"/>
    <mergeCell ref="RXI22:RXP22"/>
    <mergeCell ref="RXQ22:RXX22"/>
    <mergeCell ref="RXY22:RYF22"/>
    <mergeCell ref="RYG22:RYN22"/>
    <mergeCell ref="RUW22:RVD22"/>
    <mergeCell ref="RVE22:RVL22"/>
    <mergeCell ref="RVM22:RVT22"/>
    <mergeCell ref="RVU22:RWB22"/>
    <mergeCell ref="RWC22:RWJ22"/>
    <mergeCell ref="RWK22:RWR22"/>
    <mergeCell ref="RTA22:RTH22"/>
    <mergeCell ref="RTI22:RTP22"/>
    <mergeCell ref="RTQ22:RTX22"/>
    <mergeCell ref="RTY22:RUF22"/>
    <mergeCell ref="RUG22:RUN22"/>
    <mergeCell ref="RUO22:RUV22"/>
    <mergeCell ref="RRE22:RRL22"/>
    <mergeCell ref="RRM22:RRT22"/>
    <mergeCell ref="RRU22:RSB22"/>
    <mergeCell ref="RSC22:RSJ22"/>
    <mergeCell ref="RSK22:RSR22"/>
    <mergeCell ref="RSS22:RSZ22"/>
    <mergeCell ref="RPI22:RPP22"/>
    <mergeCell ref="RPQ22:RPX22"/>
    <mergeCell ref="RPY22:RQF22"/>
    <mergeCell ref="RQG22:RQN22"/>
    <mergeCell ref="RQO22:RQV22"/>
    <mergeCell ref="RQW22:RRD22"/>
    <mergeCell ref="RNM22:RNT22"/>
    <mergeCell ref="RNU22:ROB22"/>
    <mergeCell ref="ROC22:ROJ22"/>
    <mergeCell ref="ROK22:ROR22"/>
    <mergeCell ref="ROS22:ROZ22"/>
    <mergeCell ref="RPA22:RPH22"/>
    <mergeCell ref="RLQ22:RLX22"/>
    <mergeCell ref="RLY22:RMF22"/>
    <mergeCell ref="RMG22:RMN22"/>
    <mergeCell ref="RMO22:RMV22"/>
    <mergeCell ref="RMW22:RND22"/>
    <mergeCell ref="RNE22:RNL22"/>
    <mergeCell ref="RJU22:RKB22"/>
    <mergeCell ref="RKC22:RKJ22"/>
    <mergeCell ref="RKK22:RKR22"/>
    <mergeCell ref="RKS22:RKZ22"/>
    <mergeCell ref="RLA22:RLH22"/>
    <mergeCell ref="RLI22:RLP22"/>
    <mergeCell ref="RHY22:RIF22"/>
    <mergeCell ref="RIG22:RIN22"/>
    <mergeCell ref="RIO22:RIV22"/>
    <mergeCell ref="RIW22:RJD22"/>
    <mergeCell ref="RJE22:RJL22"/>
    <mergeCell ref="RJM22:RJT22"/>
    <mergeCell ref="RGC22:RGJ22"/>
    <mergeCell ref="RGK22:RGR22"/>
    <mergeCell ref="RGS22:RGZ22"/>
    <mergeCell ref="RHA22:RHH22"/>
    <mergeCell ref="RHI22:RHP22"/>
    <mergeCell ref="RHQ22:RHX22"/>
    <mergeCell ref="REG22:REN22"/>
    <mergeCell ref="REO22:REV22"/>
    <mergeCell ref="REW22:RFD22"/>
    <mergeCell ref="RFE22:RFL22"/>
    <mergeCell ref="RFM22:RFT22"/>
    <mergeCell ref="RFU22:RGB22"/>
    <mergeCell ref="RCK22:RCR22"/>
    <mergeCell ref="RCS22:RCZ22"/>
    <mergeCell ref="RDA22:RDH22"/>
    <mergeCell ref="RDI22:RDP22"/>
    <mergeCell ref="RDQ22:RDX22"/>
    <mergeCell ref="RDY22:REF22"/>
    <mergeCell ref="RAO22:RAV22"/>
    <mergeCell ref="RAW22:RBD22"/>
    <mergeCell ref="RBE22:RBL22"/>
    <mergeCell ref="RBM22:RBT22"/>
    <mergeCell ref="RBU22:RCB22"/>
    <mergeCell ref="RCC22:RCJ22"/>
    <mergeCell ref="QYS22:QYZ22"/>
    <mergeCell ref="QZA22:QZH22"/>
    <mergeCell ref="QZI22:QZP22"/>
    <mergeCell ref="QZQ22:QZX22"/>
    <mergeCell ref="QZY22:RAF22"/>
    <mergeCell ref="RAG22:RAN22"/>
    <mergeCell ref="QWW22:QXD22"/>
    <mergeCell ref="QXE22:QXL22"/>
    <mergeCell ref="QXM22:QXT22"/>
    <mergeCell ref="QXU22:QYB22"/>
    <mergeCell ref="QYC22:QYJ22"/>
    <mergeCell ref="QYK22:QYR22"/>
    <mergeCell ref="QVA22:QVH22"/>
    <mergeCell ref="QVI22:QVP22"/>
    <mergeCell ref="QVQ22:QVX22"/>
    <mergeCell ref="QVY22:QWF22"/>
    <mergeCell ref="QWG22:QWN22"/>
    <mergeCell ref="QWO22:QWV22"/>
    <mergeCell ref="QTE22:QTL22"/>
    <mergeCell ref="QTM22:QTT22"/>
    <mergeCell ref="QTU22:QUB22"/>
    <mergeCell ref="QUC22:QUJ22"/>
    <mergeCell ref="QUK22:QUR22"/>
    <mergeCell ref="QUS22:QUZ22"/>
    <mergeCell ref="QRI22:QRP22"/>
    <mergeCell ref="QRQ22:QRX22"/>
    <mergeCell ref="QRY22:QSF22"/>
    <mergeCell ref="QSG22:QSN22"/>
    <mergeCell ref="QSO22:QSV22"/>
    <mergeCell ref="QSW22:QTD22"/>
    <mergeCell ref="QPM22:QPT22"/>
    <mergeCell ref="QPU22:QQB22"/>
    <mergeCell ref="QQC22:QQJ22"/>
    <mergeCell ref="QQK22:QQR22"/>
    <mergeCell ref="QQS22:QQZ22"/>
    <mergeCell ref="QRA22:QRH22"/>
    <mergeCell ref="QNQ22:QNX22"/>
    <mergeCell ref="QNY22:QOF22"/>
    <mergeCell ref="QOG22:QON22"/>
    <mergeCell ref="QOO22:QOV22"/>
    <mergeCell ref="QOW22:QPD22"/>
    <mergeCell ref="QPE22:QPL22"/>
    <mergeCell ref="QLU22:QMB22"/>
    <mergeCell ref="QMC22:QMJ22"/>
    <mergeCell ref="QMK22:QMR22"/>
    <mergeCell ref="QMS22:QMZ22"/>
    <mergeCell ref="QNA22:QNH22"/>
    <mergeCell ref="QNI22:QNP22"/>
    <mergeCell ref="QJY22:QKF22"/>
    <mergeCell ref="QKG22:QKN22"/>
    <mergeCell ref="QKO22:QKV22"/>
    <mergeCell ref="QKW22:QLD22"/>
    <mergeCell ref="QLE22:QLL22"/>
    <mergeCell ref="QLM22:QLT22"/>
    <mergeCell ref="QIC22:QIJ22"/>
    <mergeCell ref="QIK22:QIR22"/>
    <mergeCell ref="QIS22:QIZ22"/>
    <mergeCell ref="QJA22:QJH22"/>
    <mergeCell ref="QJI22:QJP22"/>
    <mergeCell ref="QJQ22:QJX22"/>
    <mergeCell ref="QGG22:QGN22"/>
    <mergeCell ref="QGO22:QGV22"/>
    <mergeCell ref="QGW22:QHD22"/>
    <mergeCell ref="QHE22:QHL22"/>
    <mergeCell ref="QHM22:QHT22"/>
    <mergeCell ref="QHU22:QIB22"/>
    <mergeCell ref="QEK22:QER22"/>
    <mergeCell ref="QES22:QEZ22"/>
    <mergeCell ref="QFA22:QFH22"/>
    <mergeCell ref="QFI22:QFP22"/>
    <mergeCell ref="QFQ22:QFX22"/>
    <mergeCell ref="QFY22:QGF22"/>
    <mergeCell ref="QCO22:QCV22"/>
    <mergeCell ref="QCW22:QDD22"/>
    <mergeCell ref="QDE22:QDL22"/>
    <mergeCell ref="QDM22:QDT22"/>
    <mergeCell ref="QDU22:QEB22"/>
    <mergeCell ref="QEC22:QEJ22"/>
    <mergeCell ref="QAS22:QAZ22"/>
    <mergeCell ref="QBA22:QBH22"/>
    <mergeCell ref="QBI22:QBP22"/>
    <mergeCell ref="QBQ22:QBX22"/>
    <mergeCell ref="QBY22:QCF22"/>
    <mergeCell ref="QCG22:QCN22"/>
    <mergeCell ref="PYW22:PZD22"/>
    <mergeCell ref="PZE22:PZL22"/>
    <mergeCell ref="PZM22:PZT22"/>
    <mergeCell ref="PZU22:QAB22"/>
    <mergeCell ref="QAC22:QAJ22"/>
    <mergeCell ref="QAK22:QAR22"/>
    <mergeCell ref="PXA22:PXH22"/>
    <mergeCell ref="PXI22:PXP22"/>
    <mergeCell ref="PXQ22:PXX22"/>
    <mergeCell ref="PXY22:PYF22"/>
    <mergeCell ref="PYG22:PYN22"/>
    <mergeCell ref="PYO22:PYV22"/>
    <mergeCell ref="PVE22:PVL22"/>
    <mergeCell ref="PVM22:PVT22"/>
    <mergeCell ref="PVU22:PWB22"/>
    <mergeCell ref="PWC22:PWJ22"/>
    <mergeCell ref="PWK22:PWR22"/>
    <mergeCell ref="PWS22:PWZ22"/>
    <mergeCell ref="PTI22:PTP22"/>
    <mergeCell ref="PTQ22:PTX22"/>
    <mergeCell ref="PTY22:PUF22"/>
    <mergeCell ref="PUG22:PUN22"/>
    <mergeCell ref="PUO22:PUV22"/>
    <mergeCell ref="PUW22:PVD22"/>
    <mergeCell ref="PRM22:PRT22"/>
    <mergeCell ref="PRU22:PSB22"/>
    <mergeCell ref="PSC22:PSJ22"/>
    <mergeCell ref="PSK22:PSR22"/>
    <mergeCell ref="PSS22:PSZ22"/>
    <mergeCell ref="PTA22:PTH22"/>
    <mergeCell ref="PPQ22:PPX22"/>
    <mergeCell ref="PPY22:PQF22"/>
    <mergeCell ref="PQG22:PQN22"/>
    <mergeCell ref="PQO22:PQV22"/>
    <mergeCell ref="PQW22:PRD22"/>
    <mergeCell ref="PRE22:PRL22"/>
    <mergeCell ref="PNU22:POB22"/>
    <mergeCell ref="POC22:POJ22"/>
    <mergeCell ref="POK22:POR22"/>
    <mergeCell ref="POS22:POZ22"/>
    <mergeCell ref="PPA22:PPH22"/>
    <mergeCell ref="PPI22:PPP22"/>
    <mergeCell ref="PLY22:PMF22"/>
    <mergeCell ref="PMG22:PMN22"/>
    <mergeCell ref="PMO22:PMV22"/>
    <mergeCell ref="PMW22:PND22"/>
    <mergeCell ref="PNE22:PNL22"/>
    <mergeCell ref="PNM22:PNT22"/>
    <mergeCell ref="PKC22:PKJ22"/>
    <mergeCell ref="PKK22:PKR22"/>
    <mergeCell ref="PKS22:PKZ22"/>
    <mergeCell ref="PLA22:PLH22"/>
    <mergeCell ref="PLI22:PLP22"/>
    <mergeCell ref="PLQ22:PLX22"/>
    <mergeCell ref="PIG22:PIN22"/>
    <mergeCell ref="PIO22:PIV22"/>
    <mergeCell ref="PIW22:PJD22"/>
    <mergeCell ref="PJE22:PJL22"/>
    <mergeCell ref="PJM22:PJT22"/>
    <mergeCell ref="PJU22:PKB22"/>
    <mergeCell ref="PGK22:PGR22"/>
    <mergeCell ref="PGS22:PGZ22"/>
    <mergeCell ref="PHA22:PHH22"/>
    <mergeCell ref="PHI22:PHP22"/>
    <mergeCell ref="PHQ22:PHX22"/>
    <mergeCell ref="PHY22:PIF22"/>
    <mergeCell ref="PEO22:PEV22"/>
    <mergeCell ref="PEW22:PFD22"/>
    <mergeCell ref="PFE22:PFL22"/>
    <mergeCell ref="PFM22:PFT22"/>
    <mergeCell ref="PFU22:PGB22"/>
    <mergeCell ref="PGC22:PGJ22"/>
    <mergeCell ref="PCS22:PCZ22"/>
    <mergeCell ref="PDA22:PDH22"/>
    <mergeCell ref="PDI22:PDP22"/>
    <mergeCell ref="PDQ22:PDX22"/>
    <mergeCell ref="PDY22:PEF22"/>
    <mergeCell ref="PEG22:PEN22"/>
    <mergeCell ref="PAW22:PBD22"/>
    <mergeCell ref="PBE22:PBL22"/>
    <mergeCell ref="PBM22:PBT22"/>
    <mergeCell ref="PBU22:PCB22"/>
    <mergeCell ref="PCC22:PCJ22"/>
    <mergeCell ref="PCK22:PCR22"/>
    <mergeCell ref="OZA22:OZH22"/>
    <mergeCell ref="OZI22:OZP22"/>
    <mergeCell ref="OZQ22:OZX22"/>
    <mergeCell ref="OZY22:PAF22"/>
    <mergeCell ref="PAG22:PAN22"/>
    <mergeCell ref="PAO22:PAV22"/>
    <mergeCell ref="OXE22:OXL22"/>
    <mergeCell ref="OXM22:OXT22"/>
    <mergeCell ref="OXU22:OYB22"/>
    <mergeCell ref="OYC22:OYJ22"/>
    <mergeCell ref="OYK22:OYR22"/>
    <mergeCell ref="OYS22:OYZ22"/>
    <mergeCell ref="OVI22:OVP22"/>
    <mergeCell ref="OVQ22:OVX22"/>
    <mergeCell ref="OVY22:OWF22"/>
    <mergeCell ref="OWG22:OWN22"/>
    <mergeCell ref="OWO22:OWV22"/>
    <mergeCell ref="OWW22:OXD22"/>
    <mergeCell ref="OTM22:OTT22"/>
    <mergeCell ref="OTU22:OUB22"/>
    <mergeCell ref="OUC22:OUJ22"/>
    <mergeCell ref="OUK22:OUR22"/>
    <mergeCell ref="OUS22:OUZ22"/>
    <mergeCell ref="OVA22:OVH22"/>
    <mergeCell ref="ORQ22:ORX22"/>
    <mergeCell ref="ORY22:OSF22"/>
    <mergeCell ref="OSG22:OSN22"/>
    <mergeCell ref="OSO22:OSV22"/>
    <mergeCell ref="OSW22:OTD22"/>
    <mergeCell ref="OTE22:OTL22"/>
    <mergeCell ref="OPU22:OQB22"/>
    <mergeCell ref="OQC22:OQJ22"/>
    <mergeCell ref="OQK22:OQR22"/>
    <mergeCell ref="OQS22:OQZ22"/>
    <mergeCell ref="ORA22:ORH22"/>
    <mergeCell ref="ORI22:ORP22"/>
    <mergeCell ref="ONY22:OOF22"/>
    <mergeCell ref="OOG22:OON22"/>
    <mergeCell ref="OOO22:OOV22"/>
    <mergeCell ref="OOW22:OPD22"/>
    <mergeCell ref="OPE22:OPL22"/>
    <mergeCell ref="OPM22:OPT22"/>
    <mergeCell ref="OMC22:OMJ22"/>
    <mergeCell ref="OMK22:OMR22"/>
    <mergeCell ref="OMS22:OMZ22"/>
    <mergeCell ref="ONA22:ONH22"/>
    <mergeCell ref="ONI22:ONP22"/>
    <mergeCell ref="ONQ22:ONX22"/>
    <mergeCell ref="OKG22:OKN22"/>
    <mergeCell ref="OKO22:OKV22"/>
    <mergeCell ref="OKW22:OLD22"/>
    <mergeCell ref="OLE22:OLL22"/>
    <mergeCell ref="OLM22:OLT22"/>
    <mergeCell ref="OLU22:OMB22"/>
    <mergeCell ref="OIK22:OIR22"/>
    <mergeCell ref="OIS22:OIZ22"/>
    <mergeCell ref="OJA22:OJH22"/>
    <mergeCell ref="OJI22:OJP22"/>
    <mergeCell ref="OJQ22:OJX22"/>
    <mergeCell ref="OJY22:OKF22"/>
    <mergeCell ref="OGO22:OGV22"/>
    <mergeCell ref="OGW22:OHD22"/>
    <mergeCell ref="OHE22:OHL22"/>
    <mergeCell ref="OHM22:OHT22"/>
    <mergeCell ref="OHU22:OIB22"/>
    <mergeCell ref="OIC22:OIJ22"/>
    <mergeCell ref="OES22:OEZ22"/>
    <mergeCell ref="OFA22:OFH22"/>
    <mergeCell ref="OFI22:OFP22"/>
    <mergeCell ref="OFQ22:OFX22"/>
    <mergeCell ref="OFY22:OGF22"/>
    <mergeCell ref="OGG22:OGN22"/>
    <mergeCell ref="OCW22:ODD22"/>
    <mergeCell ref="ODE22:ODL22"/>
    <mergeCell ref="ODM22:ODT22"/>
    <mergeCell ref="ODU22:OEB22"/>
    <mergeCell ref="OEC22:OEJ22"/>
    <mergeCell ref="OEK22:OER22"/>
    <mergeCell ref="OBA22:OBH22"/>
    <mergeCell ref="OBI22:OBP22"/>
    <mergeCell ref="OBQ22:OBX22"/>
    <mergeCell ref="OBY22:OCF22"/>
    <mergeCell ref="OCG22:OCN22"/>
    <mergeCell ref="OCO22:OCV22"/>
    <mergeCell ref="NZE22:NZL22"/>
    <mergeCell ref="NZM22:NZT22"/>
    <mergeCell ref="NZU22:OAB22"/>
    <mergeCell ref="OAC22:OAJ22"/>
    <mergeCell ref="OAK22:OAR22"/>
    <mergeCell ref="OAS22:OAZ22"/>
    <mergeCell ref="NXI22:NXP22"/>
    <mergeCell ref="NXQ22:NXX22"/>
    <mergeCell ref="NXY22:NYF22"/>
    <mergeCell ref="NYG22:NYN22"/>
    <mergeCell ref="NYO22:NYV22"/>
    <mergeCell ref="NYW22:NZD22"/>
    <mergeCell ref="NVM22:NVT22"/>
    <mergeCell ref="NVU22:NWB22"/>
    <mergeCell ref="NWC22:NWJ22"/>
    <mergeCell ref="NWK22:NWR22"/>
    <mergeCell ref="NWS22:NWZ22"/>
    <mergeCell ref="NXA22:NXH22"/>
    <mergeCell ref="NTQ22:NTX22"/>
    <mergeCell ref="NTY22:NUF22"/>
    <mergeCell ref="NUG22:NUN22"/>
    <mergeCell ref="NUO22:NUV22"/>
    <mergeCell ref="NUW22:NVD22"/>
    <mergeCell ref="NVE22:NVL22"/>
    <mergeCell ref="NRU22:NSB22"/>
    <mergeCell ref="NSC22:NSJ22"/>
    <mergeCell ref="NSK22:NSR22"/>
    <mergeCell ref="NSS22:NSZ22"/>
    <mergeCell ref="NTA22:NTH22"/>
    <mergeCell ref="NTI22:NTP22"/>
    <mergeCell ref="NPY22:NQF22"/>
    <mergeCell ref="NQG22:NQN22"/>
    <mergeCell ref="NQO22:NQV22"/>
    <mergeCell ref="NQW22:NRD22"/>
    <mergeCell ref="NRE22:NRL22"/>
    <mergeCell ref="NRM22:NRT22"/>
    <mergeCell ref="NOC22:NOJ22"/>
    <mergeCell ref="NOK22:NOR22"/>
    <mergeCell ref="NOS22:NOZ22"/>
    <mergeCell ref="NPA22:NPH22"/>
    <mergeCell ref="NPI22:NPP22"/>
    <mergeCell ref="NPQ22:NPX22"/>
    <mergeCell ref="NMG22:NMN22"/>
    <mergeCell ref="NMO22:NMV22"/>
    <mergeCell ref="NMW22:NND22"/>
    <mergeCell ref="NNE22:NNL22"/>
    <mergeCell ref="NNM22:NNT22"/>
    <mergeCell ref="NNU22:NOB22"/>
    <mergeCell ref="NKK22:NKR22"/>
    <mergeCell ref="NKS22:NKZ22"/>
    <mergeCell ref="NLA22:NLH22"/>
    <mergeCell ref="NLI22:NLP22"/>
    <mergeCell ref="NLQ22:NLX22"/>
    <mergeCell ref="NLY22:NMF22"/>
    <mergeCell ref="NIO22:NIV22"/>
    <mergeCell ref="NIW22:NJD22"/>
    <mergeCell ref="NJE22:NJL22"/>
    <mergeCell ref="NJM22:NJT22"/>
    <mergeCell ref="NJU22:NKB22"/>
    <mergeCell ref="NKC22:NKJ22"/>
    <mergeCell ref="NGS22:NGZ22"/>
    <mergeCell ref="NHA22:NHH22"/>
    <mergeCell ref="NHI22:NHP22"/>
    <mergeCell ref="NHQ22:NHX22"/>
    <mergeCell ref="NHY22:NIF22"/>
    <mergeCell ref="NIG22:NIN22"/>
    <mergeCell ref="NEW22:NFD22"/>
    <mergeCell ref="NFE22:NFL22"/>
    <mergeCell ref="NFM22:NFT22"/>
    <mergeCell ref="NFU22:NGB22"/>
    <mergeCell ref="NGC22:NGJ22"/>
    <mergeCell ref="NGK22:NGR22"/>
    <mergeCell ref="NDA22:NDH22"/>
    <mergeCell ref="NDI22:NDP22"/>
    <mergeCell ref="NDQ22:NDX22"/>
    <mergeCell ref="NDY22:NEF22"/>
    <mergeCell ref="NEG22:NEN22"/>
    <mergeCell ref="NEO22:NEV22"/>
    <mergeCell ref="NBE22:NBL22"/>
    <mergeCell ref="NBM22:NBT22"/>
    <mergeCell ref="NBU22:NCB22"/>
    <mergeCell ref="NCC22:NCJ22"/>
    <mergeCell ref="NCK22:NCR22"/>
    <mergeCell ref="NCS22:NCZ22"/>
    <mergeCell ref="MZI22:MZP22"/>
    <mergeCell ref="MZQ22:MZX22"/>
    <mergeCell ref="MZY22:NAF22"/>
    <mergeCell ref="NAG22:NAN22"/>
    <mergeCell ref="NAO22:NAV22"/>
    <mergeCell ref="NAW22:NBD22"/>
    <mergeCell ref="MXM22:MXT22"/>
    <mergeCell ref="MXU22:MYB22"/>
    <mergeCell ref="MYC22:MYJ22"/>
    <mergeCell ref="MYK22:MYR22"/>
    <mergeCell ref="MYS22:MYZ22"/>
    <mergeCell ref="MZA22:MZH22"/>
    <mergeCell ref="MVQ22:MVX22"/>
    <mergeCell ref="MVY22:MWF22"/>
    <mergeCell ref="MWG22:MWN22"/>
    <mergeCell ref="MWO22:MWV22"/>
    <mergeCell ref="MWW22:MXD22"/>
    <mergeCell ref="MXE22:MXL22"/>
    <mergeCell ref="MTU22:MUB22"/>
    <mergeCell ref="MUC22:MUJ22"/>
    <mergeCell ref="MUK22:MUR22"/>
    <mergeCell ref="MUS22:MUZ22"/>
    <mergeCell ref="MVA22:MVH22"/>
    <mergeCell ref="MVI22:MVP22"/>
    <mergeCell ref="MRY22:MSF22"/>
    <mergeCell ref="MSG22:MSN22"/>
    <mergeCell ref="MSO22:MSV22"/>
    <mergeCell ref="MSW22:MTD22"/>
    <mergeCell ref="MTE22:MTL22"/>
    <mergeCell ref="MTM22:MTT22"/>
    <mergeCell ref="MQC22:MQJ22"/>
    <mergeCell ref="MQK22:MQR22"/>
    <mergeCell ref="MQS22:MQZ22"/>
    <mergeCell ref="MRA22:MRH22"/>
    <mergeCell ref="MRI22:MRP22"/>
    <mergeCell ref="MRQ22:MRX22"/>
    <mergeCell ref="MOG22:MON22"/>
    <mergeCell ref="MOO22:MOV22"/>
    <mergeCell ref="MOW22:MPD22"/>
    <mergeCell ref="MPE22:MPL22"/>
    <mergeCell ref="MPM22:MPT22"/>
    <mergeCell ref="MPU22:MQB22"/>
    <mergeCell ref="MMK22:MMR22"/>
    <mergeCell ref="MMS22:MMZ22"/>
    <mergeCell ref="MNA22:MNH22"/>
    <mergeCell ref="MNI22:MNP22"/>
    <mergeCell ref="MNQ22:MNX22"/>
    <mergeCell ref="MNY22:MOF22"/>
    <mergeCell ref="MKO22:MKV22"/>
    <mergeCell ref="MKW22:MLD22"/>
    <mergeCell ref="MLE22:MLL22"/>
    <mergeCell ref="MLM22:MLT22"/>
    <mergeCell ref="MLU22:MMB22"/>
    <mergeCell ref="MMC22:MMJ22"/>
    <mergeCell ref="MIS22:MIZ22"/>
    <mergeCell ref="MJA22:MJH22"/>
    <mergeCell ref="MJI22:MJP22"/>
    <mergeCell ref="MJQ22:MJX22"/>
    <mergeCell ref="MJY22:MKF22"/>
    <mergeCell ref="MKG22:MKN22"/>
    <mergeCell ref="MGW22:MHD22"/>
    <mergeCell ref="MHE22:MHL22"/>
    <mergeCell ref="MHM22:MHT22"/>
    <mergeCell ref="MHU22:MIB22"/>
    <mergeCell ref="MIC22:MIJ22"/>
    <mergeCell ref="MIK22:MIR22"/>
    <mergeCell ref="MFA22:MFH22"/>
    <mergeCell ref="MFI22:MFP22"/>
    <mergeCell ref="MFQ22:MFX22"/>
    <mergeCell ref="MFY22:MGF22"/>
    <mergeCell ref="MGG22:MGN22"/>
    <mergeCell ref="MGO22:MGV22"/>
    <mergeCell ref="MDE22:MDL22"/>
    <mergeCell ref="MDM22:MDT22"/>
    <mergeCell ref="MDU22:MEB22"/>
    <mergeCell ref="MEC22:MEJ22"/>
    <mergeCell ref="MEK22:MER22"/>
    <mergeCell ref="MES22:MEZ22"/>
    <mergeCell ref="MBI22:MBP22"/>
    <mergeCell ref="MBQ22:MBX22"/>
    <mergeCell ref="MBY22:MCF22"/>
    <mergeCell ref="MCG22:MCN22"/>
    <mergeCell ref="MCO22:MCV22"/>
    <mergeCell ref="MCW22:MDD22"/>
    <mergeCell ref="LZM22:LZT22"/>
    <mergeCell ref="LZU22:MAB22"/>
    <mergeCell ref="MAC22:MAJ22"/>
    <mergeCell ref="MAK22:MAR22"/>
    <mergeCell ref="MAS22:MAZ22"/>
    <mergeCell ref="MBA22:MBH22"/>
    <mergeCell ref="LXQ22:LXX22"/>
    <mergeCell ref="LXY22:LYF22"/>
    <mergeCell ref="LYG22:LYN22"/>
    <mergeCell ref="LYO22:LYV22"/>
    <mergeCell ref="LYW22:LZD22"/>
    <mergeCell ref="LZE22:LZL22"/>
    <mergeCell ref="LVU22:LWB22"/>
    <mergeCell ref="LWC22:LWJ22"/>
    <mergeCell ref="LWK22:LWR22"/>
    <mergeCell ref="LWS22:LWZ22"/>
    <mergeCell ref="LXA22:LXH22"/>
    <mergeCell ref="LXI22:LXP22"/>
    <mergeCell ref="LTY22:LUF22"/>
    <mergeCell ref="LUG22:LUN22"/>
    <mergeCell ref="LUO22:LUV22"/>
    <mergeCell ref="LUW22:LVD22"/>
    <mergeCell ref="LVE22:LVL22"/>
    <mergeCell ref="LVM22:LVT22"/>
    <mergeCell ref="LSC22:LSJ22"/>
    <mergeCell ref="LSK22:LSR22"/>
    <mergeCell ref="LSS22:LSZ22"/>
    <mergeCell ref="LTA22:LTH22"/>
    <mergeCell ref="LTI22:LTP22"/>
    <mergeCell ref="LTQ22:LTX22"/>
    <mergeCell ref="LQG22:LQN22"/>
    <mergeCell ref="LQO22:LQV22"/>
    <mergeCell ref="LQW22:LRD22"/>
    <mergeCell ref="LRE22:LRL22"/>
    <mergeCell ref="LRM22:LRT22"/>
    <mergeCell ref="LRU22:LSB22"/>
    <mergeCell ref="LOK22:LOR22"/>
    <mergeCell ref="LOS22:LOZ22"/>
    <mergeCell ref="LPA22:LPH22"/>
    <mergeCell ref="LPI22:LPP22"/>
    <mergeCell ref="LPQ22:LPX22"/>
    <mergeCell ref="LPY22:LQF22"/>
    <mergeCell ref="LMO22:LMV22"/>
    <mergeCell ref="LMW22:LND22"/>
    <mergeCell ref="LNE22:LNL22"/>
    <mergeCell ref="LNM22:LNT22"/>
    <mergeCell ref="LNU22:LOB22"/>
    <mergeCell ref="LOC22:LOJ22"/>
    <mergeCell ref="LKS22:LKZ22"/>
    <mergeCell ref="LLA22:LLH22"/>
    <mergeCell ref="LLI22:LLP22"/>
    <mergeCell ref="LLQ22:LLX22"/>
    <mergeCell ref="LLY22:LMF22"/>
    <mergeCell ref="LMG22:LMN22"/>
    <mergeCell ref="LIW22:LJD22"/>
    <mergeCell ref="LJE22:LJL22"/>
    <mergeCell ref="LJM22:LJT22"/>
    <mergeCell ref="LJU22:LKB22"/>
    <mergeCell ref="LKC22:LKJ22"/>
    <mergeCell ref="LKK22:LKR22"/>
    <mergeCell ref="LHA22:LHH22"/>
    <mergeCell ref="LHI22:LHP22"/>
    <mergeCell ref="LHQ22:LHX22"/>
    <mergeCell ref="LHY22:LIF22"/>
    <mergeCell ref="LIG22:LIN22"/>
    <mergeCell ref="LIO22:LIV22"/>
    <mergeCell ref="LFE22:LFL22"/>
    <mergeCell ref="LFM22:LFT22"/>
    <mergeCell ref="LFU22:LGB22"/>
    <mergeCell ref="LGC22:LGJ22"/>
    <mergeCell ref="LGK22:LGR22"/>
    <mergeCell ref="LGS22:LGZ22"/>
    <mergeCell ref="LDI22:LDP22"/>
    <mergeCell ref="LDQ22:LDX22"/>
    <mergeCell ref="LDY22:LEF22"/>
    <mergeCell ref="LEG22:LEN22"/>
    <mergeCell ref="LEO22:LEV22"/>
    <mergeCell ref="LEW22:LFD22"/>
    <mergeCell ref="LBM22:LBT22"/>
    <mergeCell ref="LBU22:LCB22"/>
    <mergeCell ref="LCC22:LCJ22"/>
    <mergeCell ref="LCK22:LCR22"/>
    <mergeCell ref="LCS22:LCZ22"/>
    <mergeCell ref="LDA22:LDH22"/>
    <mergeCell ref="KZQ22:KZX22"/>
    <mergeCell ref="KZY22:LAF22"/>
    <mergeCell ref="LAG22:LAN22"/>
    <mergeCell ref="LAO22:LAV22"/>
    <mergeCell ref="LAW22:LBD22"/>
    <mergeCell ref="LBE22:LBL22"/>
    <mergeCell ref="KXU22:KYB22"/>
    <mergeCell ref="KYC22:KYJ22"/>
    <mergeCell ref="KYK22:KYR22"/>
    <mergeCell ref="KYS22:KYZ22"/>
    <mergeCell ref="KZA22:KZH22"/>
    <mergeCell ref="KZI22:KZP22"/>
    <mergeCell ref="KVY22:KWF22"/>
    <mergeCell ref="KWG22:KWN22"/>
    <mergeCell ref="KWO22:KWV22"/>
    <mergeCell ref="KWW22:KXD22"/>
    <mergeCell ref="KXE22:KXL22"/>
    <mergeCell ref="KXM22:KXT22"/>
    <mergeCell ref="KUC22:KUJ22"/>
    <mergeCell ref="KUK22:KUR22"/>
    <mergeCell ref="KUS22:KUZ22"/>
    <mergeCell ref="KVA22:KVH22"/>
    <mergeCell ref="KVI22:KVP22"/>
    <mergeCell ref="KVQ22:KVX22"/>
    <mergeCell ref="KSG22:KSN22"/>
    <mergeCell ref="KSO22:KSV22"/>
    <mergeCell ref="KSW22:KTD22"/>
    <mergeCell ref="KTE22:KTL22"/>
    <mergeCell ref="KTM22:KTT22"/>
    <mergeCell ref="KTU22:KUB22"/>
    <mergeCell ref="KQK22:KQR22"/>
    <mergeCell ref="KQS22:KQZ22"/>
    <mergeCell ref="KRA22:KRH22"/>
    <mergeCell ref="KRI22:KRP22"/>
    <mergeCell ref="KRQ22:KRX22"/>
    <mergeCell ref="KRY22:KSF22"/>
    <mergeCell ref="KOO22:KOV22"/>
    <mergeCell ref="KOW22:KPD22"/>
    <mergeCell ref="KPE22:KPL22"/>
    <mergeCell ref="KPM22:KPT22"/>
    <mergeCell ref="KPU22:KQB22"/>
    <mergeCell ref="KQC22:KQJ22"/>
    <mergeCell ref="KMS22:KMZ22"/>
    <mergeCell ref="KNA22:KNH22"/>
    <mergeCell ref="KNI22:KNP22"/>
    <mergeCell ref="KNQ22:KNX22"/>
    <mergeCell ref="KNY22:KOF22"/>
    <mergeCell ref="KOG22:KON22"/>
    <mergeCell ref="KKW22:KLD22"/>
    <mergeCell ref="KLE22:KLL22"/>
    <mergeCell ref="KLM22:KLT22"/>
    <mergeCell ref="KLU22:KMB22"/>
    <mergeCell ref="KMC22:KMJ22"/>
    <mergeCell ref="KMK22:KMR22"/>
    <mergeCell ref="KJA22:KJH22"/>
    <mergeCell ref="KJI22:KJP22"/>
    <mergeCell ref="KJQ22:KJX22"/>
    <mergeCell ref="KJY22:KKF22"/>
    <mergeCell ref="KKG22:KKN22"/>
    <mergeCell ref="KKO22:KKV22"/>
    <mergeCell ref="KHE22:KHL22"/>
    <mergeCell ref="KHM22:KHT22"/>
    <mergeCell ref="KHU22:KIB22"/>
    <mergeCell ref="KIC22:KIJ22"/>
    <mergeCell ref="KIK22:KIR22"/>
    <mergeCell ref="KIS22:KIZ22"/>
    <mergeCell ref="KFI22:KFP22"/>
    <mergeCell ref="KFQ22:KFX22"/>
    <mergeCell ref="KFY22:KGF22"/>
    <mergeCell ref="KGG22:KGN22"/>
    <mergeCell ref="KGO22:KGV22"/>
    <mergeCell ref="KGW22:KHD22"/>
    <mergeCell ref="KDM22:KDT22"/>
    <mergeCell ref="KDU22:KEB22"/>
    <mergeCell ref="KEC22:KEJ22"/>
    <mergeCell ref="KEK22:KER22"/>
    <mergeCell ref="KES22:KEZ22"/>
    <mergeCell ref="KFA22:KFH22"/>
    <mergeCell ref="KBQ22:KBX22"/>
    <mergeCell ref="KBY22:KCF22"/>
    <mergeCell ref="KCG22:KCN22"/>
    <mergeCell ref="KCO22:KCV22"/>
    <mergeCell ref="KCW22:KDD22"/>
    <mergeCell ref="KDE22:KDL22"/>
    <mergeCell ref="JZU22:KAB22"/>
    <mergeCell ref="KAC22:KAJ22"/>
    <mergeCell ref="KAK22:KAR22"/>
    <mergeCell ref="KAS22:KAZ22"/>
    <mergeCell ref="KBA22:KBH22"/>
    <mergeCell ref="KBI22:KBP22"/>
    <mergeCell ref="JXY22:JYF22"/>
    <mergeCell ref="JYG22:JYN22"/>
    <mergeCell ref="JYO22:JYV22"/>
    <mergeCell ref="JYW22:JZD22"/>
    <mergeCell ref="JZE22:JZL22"/>
    <mergeCell ref="JZM22:JZT22"/>
    <mergeCell ref="JWC22:JWJ22"/>
    <mergeCell ref="JWK22:JWR22"/>
    <mergeCell ref="JWS22:JWZ22"/>
    <mergeCell ref="JXA22:JXH22"/>
    <mergeCell ref="JXI22:JXP22"/>
    <mergeCell ref="JXQ22:JXX22"/>
    <mergeCell ref="JUG22:JUN22"/>
    <mergeCell ref="JUO22:JUV22"/>
    <mergeCell ref="JUW22:JVD22"/>
    <mergeCell ref="JVE22:JVL22"/>
    <mergeCell ref="JVM22:JVT22"/>
    <mergeCell ref="JVU22:JWB22"/>
    <mergeCell ref="JSK22:JSR22"/>
    <mergeCell ref="JSS22:JSZ22"/>
    <mergeCell ref="JTA22:JTH22"/>
    <mergeCell ref="JTI22:JTP22"/>
    <mergeCell ref="JTQ22:JTX22"/>
    <mergeCell ref="JTY22:JUF22"/>
    <mergeCell ref="JQO22:JQV22"/>
    <mergeCell ref="JQW22:JRD22"/>
    <mergeCell ref="JRE22:JRL22"/>
    <mergeCell ref="JRM22:JRT22"/>
    <mergeCell ref="JRU22:JSB22"/>
    <mergeCell ref="JSC22:JSJ22"/>
    <mergeCell ref="JOS22:JOZ22"/>
    <mergeCell ref="JPA22:JPH22"/>
    <mergeCell ref="JPI22:JPP22"/>
    <mergeCell ref="JPQ22:JPX22"/>
    <mergeCell ref="JPY22:JQF22"/>
    <mergeCell ref="JQG22:JQN22"/>
    <mergeCell ref="JMW22:JND22"/>
    <mergeCell ref="JNE22:JNL22"/>
    <mergeCell ref="JNM22:JNT22"/>
    <mergeCell ref="JNU22:JOB22"/>
    <mergeCell ref="JOC22:JOJ22"/>
    <mergeCell ref="JOK22:JOR22"/>
    <mergeCell ref="JLA22:JLH22"/>
    <mergeCell ref="JLI22:JLP22"/>
    <mergeCell ref="JLQ22:JLX22"/>
    <mergeCell ref="JLY22:JMF22"/>
    <mergeCell ref="JMG22:JMN22"/>
    <mergeCell ref="JMO22:JMV22"/>
    <mergeCell ref="JJE22:JJL22"/>
    <mergeCell ref="JJM22:JJT22"/>
    <mergeCell ref="JJU22:JKB22"/>
    <mergeCell ref="JKC22:JKJ22"/>
    <mergeCell ref="JKK22:JKR22"/>
    <mergeCell ref="JKS22:JKZ22"/>
    <mergeCell ref="JHI22:JHP22"/>
    <mergeCell ref="JHQ22:JHX22"/>
    <mergeCell ref="JHY22:JIF22"/>
    <mergeCell ref="JIG22:JIN22"/>
    <mergeCell ref="JIO22:JIV22"/>
    <mergeCell ref="JIW22:JJD22"/>
    <mergeCell ref="JFM22:JFT22"/>
    <mergeCell ref="JFU22:JGB22"/>
    <mergeCell ref="JGC22:JGJ22"/>
    <mergeCell ref="JGK22:JGR22"/>
    <mergeCell ref="JGS22:JGZ22"/>
    <mergeCell ref="JHA22:JHH22"/>
    <mergeCell ref="JDQ22:JDX22"/>
    <mergeCell ref="JDY22:JEF22"/>
    <mergeCell ref="JEG22:JEN22"/>
    <mergeCell ref="JEO22:JEV22"/>
    <mergeCell ref="JEW22:JFD22"/>
    <mergeCell ref="JFE22:JFL22"/>
    <mergeCell ref="JBU22:JCB22"/>
    <mergeCell ref="JCC22:JCJ22"/>
    <mergeCell ref="JCK22:JCR22"/>
    <mergeCell ref="JCS22:JCZ22"/>
    <mergeCell ref="JDA22:JDH22"/>
    <mergeCell ref="JDI22:JDP22"/>
    <mergeCell ref="IZY22:JAF22"/>
    <mergeCell ref="JAG22:JAN22"/>
    <mergeCell ref="JAO22:JAV22"/>
    <mergeCell ref="JAW22:JBD22"/>
    <mergeCell ref="JBE22:JBL22"/>
    <mergeCell ref="JBM22:JBT22"/>
    <mergeCell ref="IYC22:IYJ22"/>
    <mergeCell ref="IYK22:IYR22"/>
    <mergeCell ref="IYS22:IYZ22"/>
    <mergeCell ref="IZA22:IZH22"/>
    <mergeCell ref="IZI22:IZP22"/>
    <mergeCell ref="IZQ22:IZX22"/>
    <mergeCell ref="IWG22:IWN22"/>
    <mergeCell ref="IWO22:IWV22"/>
    <mergeCell ref="IWW22:IXD22"/>
    <mergeCell ref="IXE22:IXL22"/>
    <mergeCell ref="IXM22:IXT22"/>
    <mergeCell ref="IXU22:IYB22"/>
    <mergeCell ref="IUK22:IUR22"/>
    <mergeCell ref="IUS22:IUZ22"/>
    <mergeCell ref="IVA22:IVH22"/>
    <mergeCell ref="IVI22:IVP22"/>
    <mergeCell ref="IVQ22:IVX22"/>
    <mergeCell ref="IVY22:IWF22"/>
    <mergeCell ref="ISO22:ISV22"/>
    <mergeCell ref="ISW22:ITD22"/>
    <mergeCell ref="ITE22:ITL22"/>
    <mergeCell ref="ITM22:ITT22"/>
    <mergeCell ref="ITU22:IUB22"/>
    <mergeCell ref="IUC22:IUJ22"/>
    <mergeCell ref="IQS22:IQZ22"/>
    <mergeCell ref="IRA22:IRH22"/>
    <mergeCell ref="IRI22:IRP22"/>
    <mergeCell ref="IRQ22:IRX22"/>
    <mergeCell ref="IRY22:ISF22"/>
    <mergeCell ref="ISG22:ISN22"/>
    <mergeCell ref="IOW22:IPD22"/>
    <mergeCell ref="IPE22:IPL22"/>
    <mergeCell ref="IPM22:IPT22"/>
    <mergeCell ref="IPU22:IQB22"/>
    <mergeCell ref="IQC22:IQJ22"/>
    <mergeCell ref="IQK22:IQR22"/>
    <mergeCell ref="INA22:INH22"/>
    <mergeCell ref="INI22:INP22"/>
    <mergeCell ref="INQ22:INX22"/>
    <mergeCell ref="INY22:IOF22"/>
    <mergeCell ref="IOG22:ION22"/>
    <mergeCell ref="IOO22:IOV22"/>
    <mergeCell ref="ILE22:ILL22"/>
    <mergeCell ref="ILM22:ILT22"/>
    <mergeCell ref="ILU22:IMB22"/>
    <mergeCell ref="IMC22:IMJ22"/>
    <mergeCell ref="IMK22:IMR22"/>
    <mergeCell ref="IMS22:IMZ22"/>
    <mergeCell ref="IJI22:IJP22"/>
    <mergeCell ref="IJQ22:IJX22"/>
    <mergeCell ref="IJY22:IKF22"/>
    <mergeCell ref="IKG22:IKN22"/>
    <mergeCell ref="IKO22:IKV22"/>
    <mergeCell ref="IKW22:ILD22"/>
    <mergeCell ref="IHM22:IHT22"/>
    <mergeCell ref="IHU22:IIB22"/>
    <mergeCell ref="IIC22:IIJ22"/>
    <mergeCell ref="IIK22:IIR22"/>
    <mergeCell ref="IIS22:IIZ22"/>
    <mergeCell ref="IJA22:IJH22"/>
    <mergeCell ref="IFQ22:IFX22"/>
    <mergeCell ref="IFY22:IGF22"/>
    <mergeCell ref="IGG22:IGN22"/>
    <mergeCell ref="IGO22:IGV22"/>
    <mergeCell ref="IGW22:IHD22"/>
    <mergeCell ref="IHE22:IHL22"/>
    <mergeCell ref="IDU22:IEB22"/>
    <mergeCell ref="IEC22:IEJ22"/>
    <mergeCell ref="IEK22:IER22"/>
    <mergeCell ref="IES22:IEZ22"/>
    <mergeCell ref="IFA22:IFH22"/>
    <mergeCell ref="IFI22:IFP22"/>
    <mergeCell ref="IBY22:ICF22"/>
    <mergeCell ref="ICG22:ICN22"/>
    <mergeCell ref="ICO22:ICV22"/>
    <mergeCell ref="ICW22:IDD22"/>
    <mergeCell ref="IDE22:IDL22"/>
    <mergeCell ref="IDM22:IDT22"/>
    <mergeCell ref="IAC22:IAJ22"/>
    <mergeCell ref="IAK22:IAR22"/>
    <mergeCell ref="IAS22:IAZ22"/>
    <mergeCell ref="IBA22:IBH22"/>
    <mergeCell ref="IBI22:IBP22"/>
    <mergeCell ref="IBQ22:IBX22"/>
    <mergeCell ref="HYG22:HYN22"/>
    <mergeCell ref="HYO22:HYV22"/>
    <mergeCell ref="HYW22:HZD22"/>
    <mergeCell ref="HZE22:HZL22"/>
    <mergeCell ref="HZM22:HZT22"/>
    <mergeCell ref="HZU22:IAB22"/>
    <mergeCell ref="HWK22:HWR22"/>
    <mergeCell ref="HWS22:HWZ22"/>
    <mergeCell ref="HXA22:HXH22"/>
    <mergeCell ref="HXI22:HXP22"/>
    <mergeCell ref="HXQ22:HXX22"/>
    <mergeCell ref="HXY22:HYF22"/>
    <mergeCell ref="HUO22:HUV22"/>
    <mergeCell ref="HUW22:HVD22"/>
    <mergeCell ref="HVE22:HVL22"/>
    <mergeCell ref="HVM22:HVT22"/>
    <mergeCell ref="HVU22:HWB22"/>
    <mergeCell ref="HWC22:HWJ22"/>
    <mergeCell ref="HSS22:HSZ22"/>
    <mergeCell ref="HTA22:HTH22"/>
    <mergeCell ref="HTI22:HTP22"/>
    <mergeCell ref="HTQ22:HTX22"/>
    <mergeCell ref="HTY22:HUF22"/>
    <mergeCell ref="HUG22:HUN22"/>
    <mergeCell ref="HQW22:HRD22"/>
    <mergeCell ref="HRE22:HRL22"/>
    <mergeCell ref="HRM22:HRT22"/>
    <mergeCell ref="HRU22:HSB22"/>
    <mergeCell ref="HSC22:HSJ22"/>
    <mergeCell ref="HSK22:HSR22"/>
    <mergeCell ref="HPA22:HPH22"/>
    <mergeCell ref="HPI22:HPP22"/>
    <mergeCell ref="HPQ22:HPX22"/>
    <mergeCell ref="HPY22:HQF22"/>
    <mergeCell ref="HQG22:HQN22"/>
    <mergeCell ref="HQO22:HQV22"/>
    <mergeCell ref="HNE22:HNL22"/>
    <mergeCell ref="HNM22:HNT22"/>
    <mergeCell ref="HNU22:HOB22"/>
    <mergeCell ref="HOC22:HOJ22"/>
    <mergeCell ref="HOK22:HOR22"/>
    <mergeCell ref="HOS22:HOZ22"/>
    <mergeCell ref="HLI22:HLP22"/>
    <mergeCell ref="HLQ22:HLX22"/>
    <mergeCell ref="HLY22:HMF22"/>
    <mergeCell ref="HMG22:HMN22"/>
    <mergeCell ref="HMO22:HMV22"/>
    <mergeCell ref="HMW22:HND22"/>
    <mergeCell ref="HJM22:HJT22"/>
    <mergeCell ref="HJU22:HKB22"/>
    <mergeCell ref="HKC22:HKJ22"/>
    <mergeCell ref="HKK22:HKR22"/>
    <mergeCell ref="HKS22:HKZ22"/>
    <mergeCell ref="HLA22:HLH22"/>
    <mergeCell ref="HHQ22:HHX22"/>
    <mergeCell ref="HHY22:HIF22"/>
    <mergeCell ref="HIG22:HIN22"/>
    <mergeCell ref="HIO22:HIV22"/>
    <mergeCell ref="HIW22:HJD22"/>
    <mergeCell ref="HJE22:HJL22"/>
    <mergeCell ref="HFU22:HGB22"/>
    <mergeCell ref="HGC22:HGJ22"/>
    <mergeCell ref="HGK22:HGR22"/>
    <mergeCell ref="HGS22:HGZ22"/>
    <mergeCell ref="HHA22:HHH22"/>
    <mergeCell ref="HHI22:HHP22"/>
    <mergeCell ref="HDY22:HEF22"/>
    <mergeCell ref="HEG22:HEN22"/>
    <mergeCell ref="HEO22:HEV22"/>
    <mergeCell ref="HEW22:HFD22"/>
    <mergeCell ref="HFE22:HFL22"/>
    <mergeCell ref="HFM22:HFT22"/>
    <mergeCell ref="HCC22:HCJ22"/>
    <mergeCell ref="HCK22:HCR22"/>
    <mergeCell ref="HCS22:HCZ22"/>
    <mergeCell ref="HDA22:HDH22"/>
    <mergeCell ref="HDI22:HDP22"/>
    <mergeCell ref="HDQ22:HDX22"/>
    <mergeCell ref="HAG22:HAN22"/>
    <mergeCell ref="HAO22:HAV22"/>
    <mergeCell ref="HAW22:HBD22"/>
    <mergeCell ref="HBE22:HBL22"/>
    <mergeCell ref="HBM22:HBT22"/>
    <mergeCell ref="HBU22:HCB22"/>
    <mergeCell ref="GYK22:GYR22"/>
    <mergeCell ref="GYS22:GYZ22"/>
    <mergeCell ref="GZA22:GZH22"/>
    <mergeCell ref="GZI22:GZP22"/>
    <mergeCell ref="GZQ22:GZX22"/>
    <mergeCell ref="GZY22:HAF22"/>
    <mergeCell ref="GWO22:GWV22"/>
    <mergeCell ref="GWW22:GXD22"/>
    <mergeCell ref="GXE22:GXL22"/>
    <mergeCell ref="GXM22:GXT22"/>
    <mergeCell ref="GXU22:GYB22"/>
    <mergeCell ref="GYC22:GYJ22"/>
    <mergeCell ref="GUS22:GUZ22"/>
    <mergeCell ref="GVA22:GVH22"/>
    <mergeCell ref="GVI22:GVP22"/>
    <mergeCell ref="GVQ22:GVX22"/>
    <mergeCell ref="GVY22:GWF22"/>
    <mergeCell ref="GWG22:GWN22"/>
    <mergeCell ref="GSW22:GTD22"/>
    <mergeCell ref="GTE22:GTL22"/>
    <mergeCell ref="GTM22:GTT22"/>
    <mergeCell ref="GTU22:GUB22"/>
    <mergeCell ref="GUC22:GUJ22"/>
    <mergeCell ref="GUK22:GUR22"/>
    <mergeCell ref="GRA22:GRH22"/>
    <mergeCell ref="GRI22:GRP22"/>
    <mergeCell ref="GRQ22:GRX22"/>
    <mergeCell ref="GRY22:GSF22"/>
    <mergeCell ref="GSG22:GSN22"/>
    <mergeCell ref="GSO22:GSV22"/>
    <mergeCell ref="GPE22:GPL22"/>
    <mergeCell ref="GPM22:GPT22"/>
    <mergeCell ref="GPU22:GQB22"/>
    <mergeCell ref="GQC22:GQJ22"/>
    <mergeCell ref="GQK22:GQR22"/>
    <mergeCell ref="GQS22:GQZ22"/>
    <mergeCell ref="GNI22:GNP22"/>
    <mergeCell ref="GNQ22:GNX22"/>
    <mergeCell ref="GNY22:GOF22"/>
    <mergeCell ref="GOG22:GON22"/>
    <mergeCell ref="GOO22:GOV22"/>
    <mergeCell ref="GOW22:GPD22"/>
    <mergeCell ref="GLM22:GLT22"/>
    <mergeCell ref="GLU22:GMB22"/>
    <mergeCell ref="GMC22:GMJ22"/>
    <mergeCell ref="GMK22:GMR22"/>
    <mergeCell ref="GMS22:GMZ22"/>
    <mergeCell ref="GNA22:GNH22"/>
    <mergeCell ref="GJQ22:GJX22"/>
    <mergeCell ref="GJY22:GKF22"/>
    <mergeCell ref="GKG22:GKN22"/>
    <mergeCell ref="GKO22:GKV22"/>
    <mergeCell ref="GKW22:GLD22"/>
    <mergeCell ref="GLE22:GLL22"/>
    <mergeCell ref="GHU22:GIB22"/>
    <mergeCell ref="GIC22:GIJ22"/>
    <mergeCell ref="GIK22:GIR22"/>
    <mergeCell ref="GIS22:GIZ22"/>
    <mergeCell ref="GJA22:GJH22"/>
    <mergeCell ref="GJI22:GJP22"/>
    <mergeCell ref="GFY22:GGF22"/>
    <mergeCell ref="GGG22:GGN22"/>
    <mergeCell ref="GGO22:GGV22"/>
    <mergeCell ref="GGW22:GHD22"/>
    <mergeCell ref="GHE22:GHL22"/>
    <mergeCell ref="GHM22:GHT22"/>
    <mergeCell ref="GEC22:GEJ22"/>
    <mergeCell ref="GEK22:GER22"/>
    <mergeCell ref="GES22:GEZ22"/>
    <mergeCell ref="GFA22:GFH22"/>
    <mergeCell ref="GFI22:GFP22"/>
    <mergeCell ref="GFQ22:GFX22"/>
    <mergeCell ref="GCG22:GCN22"/>
    <mergeCell ref="GCO22:GCV22"/>
    <mergeCell ref="GCW22:GDD22"/>
    <mergeCell ref="GDE22:GDL22"/>
    <mergeCell ref="GDM22:GDT22"/>
    <mergeCell ref="GDU22:GEB22"/>
    <mergeCell ref="GAK22:GAR22"/>
    <mergeCell ref="GAS22:GAZ22"/>
    <mergeCell ref="GBA22:GBH22"/>
    <mergeCell ref="GBI22:GBP22"/>
    <mergeCell ref="GBQ22:GBX22"/>
    <mergeCell ref="GBY22:GCF22"/>
    <mergeCell ref="FYO22:FYV22"/>
    <mergeCell ref="FYW22:FZD22"/>
    <mergeCell ref="FZE22:FZL22"/>
    <mergeCell ref="FZM22:FZT22"/>
    <mergeCell ref="FZU22:GAB22"/>
    <mergeCell ref="GAC22:GAJ22"/>
    <mergeCell ref="FWS22:FWZ22"/>
    <mergeCell ref="FXA22:FXH22"/>
    <mergeCell ref="FXI22:FXP22"/>
    <mergeCell ref="FXQ22:FXX22"/>
    <mergeCell ref="FXY22:FYF22"/>
    <mergeCell ref="FYG22:FYN22"/>
    <mergeCell ref="FUW22:FVD22"/>
    <mergeCell ref="FVE22:FVL22"/>
    <mergeCell ref="FVM22:FVT22"/>
    <mergeCell ref="FVU22:FWB22"/>
    <mergeCell ref="FWC22:FWJ22"/>
    <mergeCell ref="FWK22:FWR22"/>
    <mergeCell ref="FTA22:FTH22"/>
    <mergeCell ref="FTI22:FTP22"/>
    <mergeCell ref="FTQ22:FTX22"/>
    <mergeCell ref="FTY22:FUF22"/>
    <mergeCell ref="FUG22:FUN22"/>
    <mergeCell ref="FUO22:FUV22"/>
    <mergeCell ref="FRE22:FRL22"/>
    <mergeCell ref="FRM22:FRT22"/>
    <mergeCell ref="FRU22:FSB22"/>
    <mergeCell ref="FSC22:FSJ22"/>
    <mergeCell ref="FSK22:FSR22"/>
    <mergeCell ref="FSS22:FSZ22"/>
    <mergeCell ref="FPI22:FPP22"/>
    <mergeCell ref="FPQ22:FPX22"/>
    <mergeCell ref="FPY22:FQF22"/>
    <mergeCell ref="FQG22:FQN22"/>
    <mergeCell ref="FQO22:FQV22"/>
    <mergeCell ref="FQW22:FRD22"/>
    <mergeCell ref="FNM22:FNT22"/>
    <mergeCell ref="FNU22:FOB22"/>
    <mergeCell ref="FOC22:FOJ22"/>
    <mergeCell ref="FOK22:FOR22"/>
    <mergeCell ref="FOS22:FOZ22"/>
    <mergeCell ref="FPA22:FPH22"/>
    <mergeCell ref="FLQ22:FLX22"/>
    <mergeCell ref="FLY22:FMF22"/>
    <mergeCell ref="FMG22:FMN22"/>
    <mergeCell ref="FMO22:FMV22"/>
    <mergeCell ref="FMW22:FND22"/>
    <mergeCell ref="FNE22:FNL22"/>
    <mergeCell ref="FJU22:FKB22"/>
    <mergeCell ref="FKC22:FKJ22"/>
    <mergeCell ref="FKK22:FKR22"/>
    <mergeCell ref="FKS22:FKZ22"/>
    <mergeCell ref="FLA22:FLH22"/>
    <mergeCell ref="FLI22:FLP22"/>
    <mergeCell ref="FHY22:FIF22"/>
    <mergeCell ref="FIG22:FIN22"/>
    <mergeCell ref="FIO22:FIV22"/>
    <mergeCell ref="FIW22:FJD22"/>
    <mergeCell ref="FJE22:FJL22"/>
    <mergeCell ref="FJM22:FJT22"/>
    <mergeCell ref="FGC22:FGJ22"/>
    <mergeCell ref="FGK22:FGR22"/>
    <mergeCell ref="FGS22:FGZ22"/>
    <mergeCell ref="FHA22:FHH22"/>
    <mergeCell ref="FHI22:FHP22"/>
    <mergeCell ref="FHQ22:FHX22"/>
    <mergeCell ref="FEG22:FEN22"/>
    <mergeCell ref="FEO22:FEV22"/>
    <mergeCell ref="FEW22:FFD22"/>
    <mergeCell ref="FFE22:FFL22"/>
    <mergeCell ref="FFM22:FFT22"/>
    <mergeCell ref="FFU22:FGB22"/>
    <mergeCell ref="FCK22:FCR22"/>
    <mergeCell ref="FCS22:FCZ22"/>
    <mergeCell ref="FDA22:FDH22"/>
    <mergeCell ref="FDI22:FDP22"/>
    <mergeCell ref="FDQ22:FDX22"/>
    <mergeCell ref="FDY22:FEF22"/>
    <mergeCell ref="FAO22:FAV22"/>
    <mergeCell ref="FAW22:FBD22"/>
    <mergeCell ref="FBE22:FBL22"/>
    <mergeCell ref="FBM22:FBT22"/>
    <mergeCell ref="FBU22:FCB22"/>
    <mergeCell ref="FCC22:FCJ22"/>
    <mergeCell ref="EYS22:EYZ22"/>
    <mergeCell ref="EZA22:EZH22"/>
    <mergeCell ref="EZI22:EZP22"/>
    <mergeCell ref="EZQ22:EZX22"/>
    <mergeCell ref="EZY22:FAF22"/>
    <mergeCell ref="FAG22:FAN22"/>
    <mergeCell ref="EWW22:EXD22"/>
    <mergeCell ref="EXE22:EXL22"/>
    <mergeCell ref="EXM22:EXT22"/>
    <mergeCell ref="EXU22:EYB22"/>
    <mergeCell ref="EYC22:EYJ22"/>
    <mergeCell ref="EYK22:EYR22"/>
    <mergeCell ref="EVA22:EVH22"/>
    <mergeCell ref="EVI22:EVP22"/>
    <mergeCell ref="EVQ22:EVX22"/>
    <mergeCell ref="EVY22:EWF22"/>
    <mergeCell ref="EWG22:EWN22"/>
    <mergeCell ref="EWO22:EWV22"/>
    <mergeCell ref="ETE22:ETL22"/>
    <mergeCell ref="ETM22:ETT22"/>
    <mergeCell ref="ETU22:EUB22"/>
    <mergeCell ref="EUC22:EUJ22"/>
    <mergeCell ref="EUK22:EUR22"/>
    <mergeCell ref="EUS22:EUZ22"/>
    <mergeCell ref="ERI22:ERP22"/>
    <mergeCell ref="ERQ22:ERX22"/>
    <mergeCell ref="ERY22:ESF22"/>
    <mergeCell ref="ESG22:ESN22"/>
    <mergeCell ref="ESO22:ESV22"/>
    <mergeCell ref="ESW22:ETD22"/>
    <mergeCell ref="EPM22:EPT22"/>
    <mergeCell ref="EPU22:EQB22"/>
    <mergeCell ref="EQC22:EQJ22"/>
    <mergeCell ref="EQK22:EQR22"/>
    <mergeCell ref="EQS22:EQZ22"/>
    <mergeCell ref="ERA22:ERH22"/>
    <mergeCell ref="ENQ22:ENX22"/>
    <mergeCell ref="ENY22:EOF22"/>
    <mergeCell ref="EOG22:EON22"/>
    <mergeCell ref="EOO22:EOV22"/>
    <mergeCell ref="EOW22:EPD22"/>
    <mergeCell ref="EPE22:EPL22"/>
    <mergeCell ref="ELU22:EMB22"/>
    <mergeCell ref="EMC22:EMJ22"/>
    <mergeCell ref="EMK22:EMR22"/>
    <mergeCell ref="EMS22:EMZ22"/>
    <mergeCell ref="ENA22:ENH22"/>
    <mergeCell ref="ENI22:ENP22"/>
    <mergeCell ref="EJY22:EKF22"/>
    <mergeCell ref="EKG22:EKN22"/>
    <mergeCell ref="EKO22:EKV22"/>
    <mergeCell ref="EKW22:ELD22"/>
    <mergeCell ref="ELE22:ELL22"/>
    <mergeCell ref="ELM22:ELT22"/>
    <mergeCell ref="EIC22:EIJ22"/>
    <mergeCell ref="EIK22:EIR22"/>
    <mergeCell ref="EIS22:EIZ22"/>
    <mergeCell ref="EJA22:EJH22"/>
    <mergeCell ref="EJI22:EJP22"/>
    <mergeCell ref="EJQ22:EJX22"/>
    <mergeCell ref="EGG22:EGN22"/>
    <mergeCell ref="EGO22:EGV22"/>
    <mergeCell ref="EGW22:EHD22"/>
    <mergeCell ref="EHE22:EHL22"/>
    <mergeCell ref="EHM22:EHT22"/>
    <mergeCell ref="EHU22:EIB22"/>
    <mergeCell ref="EEK22:EER22"/>
    <mergeCell ref="EES22:EEZ22"/>
    <mergeCell ref="EFA22:EFH22"/>
    <mergeCell ref="EFI22:EFP22"/>
    <mergeCell ref="EFQ22:EFX22"/>
    <mergeCell ref="EFY22:EGF22"/>
    <mergeCell ref="ECO22:ECV22"/>
    <mergeCell ref="ECW22:EDD22"/>
    <mergeCell ref="EDE22:EDL22"/>
    <mergeCell ref="EDM22:EDT22"/>
    <mergeCell ref="EDU22:EEB22"/>
    <mergeCell ref="EEC22:EEJ22"/>
    <mergeCell ref="EAS22:EAZ22"/>
    <mergeCell ref="EBA22:EBH22"/>
    <mergeCell ref="EBI22:EBP22"/>
    <mergeCell ref="EBQ22:EBX22"/>
    <mergeCell ref="EBY22:ECF22"/>
    <mergeCell ref="ECG22:ECN22"/>
    <mergeCell ref="DYW22:DZD22"/>
    <mergeCell ref="DZE22:DZL22"/>
    <mergeCell ref="DZM22:DZT22"/>
    <mergeCell ref="DZU22:EAB22"/>
    <mergeCell ref="EAC22:EAJ22"/>
    <mergeCell ref="EAK22:EAR22"/>
    <mergeCell ref="DXA22:DXH22"/>
    <mergeCell ref="DXI22:DXP22"/>
    <mergeCell ref="DXQ22:DXX22"/>
    <mergeCell ref="DXY22:DYF22"/>
    <mergeCell ref="DYG22:DYN22"/>
    <mergeCell ref="DYO22:DYV22"/>
    <mergeCell ref="DVE22:DVL22"/>
    <mergeCell ref="DVM22:DVT22"/>
    <mergeCell ref="DVU22:DWB22"/>
    <mergeCell ref="DWC22:DWJ22"/>
    <mergeCell ref="DWK22:DWR22"/>
    <mergeCell ref="DWS22:DWZ22"/>
    <mergeCell ref="DTI22:DTP22"/>
    <mergeCell ref="DTQ22:DTX22"/>
    <mergeCell ref="DTY22:DUF22"/>
    <mergeCell ref="DUG22:DUN22"/>
    <mergeCell ref="DUO22:DUV22"/>
    <mergeCell ref="DUW22:DVD22"/>
    <mergeCell ref="DRM22:DRT22"/>
    <mergeCell ref="DRU22:DSB22"/>
    <mergeCell ref="DSC22:DSJ22"/>
    <mergeCell ref="DSK22:DSR22"/>
    <mergeCell ref="DSS22:DSZ22"/>
    <mergeCell ref="DTA22:DTH22"/>
    <mergeCell ref="DPQ22:DPX22"/>
    <mergeCell ref="DPY22:DQF22"/>
    <mergeCell ref="DQG22:DQN22"/>
    <mergeCell ref="DQO22:DQV22"/>
    <mergeCell ref="DQW22:DRD22"/>
    <mergeCell ref="DRE22:DRL22"/>
    <mergeCell ref="DNU22:DOB22"/>
    <mergeCell ref="DOC22:DOJ22"/>
    <mergeCell ref="DOK22:DOR22"/>
    <mergeCell ref="DOS22:DOZ22"/>
    <mergeCell ref="DPA22:DPH22"/>
    <mergeCell ref="DPI22:DPP22"/>
    <mergeCell ref="DLY22:DMF22"/>
    <mergeCell ref="DMG22:DMN22"/>
    <mergeCell ref="DMO22:DMV22"/>
    <mergeCell ref="DMW22:DND22"/>
    <mergeCell ref="DNE22:DNL22"/>
    <mergeCell ref="DNM22:DNT22"/>
    <mergeCell ref="DKC22:DKJ22"/>
    <mergeCell ref="DKK22:DKR22"/>
    <mergeCell ref="DKS22:DKZ22"/>
    <mergeCell ref="DLA22:DLH22"/>
    <mergeCell ref="DLI22:DLP22"/>
    <mergeCell ref="DLQ22:DLX22"/>
    <mergeCell ref="DIG22:DIN22"/>
    <mergeCell ref="DIO22:DIV22"/>
    <mergeCell ref="DIW22:DJD22"/>
    <mergeCell ref="DJE22:DJL22"/>
    <mergeCell ref="DJM22:DJT22"/>
    <mergeCell ref="DJU22:DKB22"/>
    <mergeCell ref="DGK22:DGR22"/>
    <mergeCell ref="DGS22:DGZ22"/>
    <mergeCell ref="DHA22:DHH22"/>
    <mergeCell ref="DHI22:DHP22"/>
    <mergeCell ref="DHQ22:DHX22"/>
    <mergeCell ref="DHY22:DIF22"/>
    <mergeCell ref="DEO22:DEV22"/>
    <mergeCell ref="DEW22:DFD22"/>
    <mergeCell ref="DFE22:DFL22"/>
    <mergeCell ref="DFM22:DFT22"/>
    <mergeCell ref="DFU22:DGB22"/>
    <mergeCell ref="DGC22:DGJ22"/>
    <mergeCell ref="DCS22:DCZ22"/>
    <mergeCell ref="DDA22:DDH22"/>
    <mergeCell ref="DDI22:DDP22"/>
    <mergeCell ref="DDQ22:DDX22"/>
    <mergeCell ref="DDY22:DEF22"/>
    <mergeCell ref="DEG22:DEN22"/>
    <mergeCell ref="DAW22:DBD22"/>
    <mergeCell ref="DBE22:DBL22"/>
    <mergeCell ref="DBM22:DBT22"/>
    <mergeCell ref="DBU22:DCB22"/>
    <mergeCell ref="DCC22:DCJ22"/>
    <mergeCell ref="DCK22:DCR22"/>
    <mergeCell ref="CZA22:CZH22"/>
    <mergeCell ref="CZI22:CZP22"/>
    <mergeCell ref="CZQ22:CZX22"/>
    <mergeCell ref="CZY22:DAF22"/>
    <mergeCell ref="DAG22:DAN22"/>
    <mergeCell ref="DAO22:DAV22"/>
    <mergeCell ref="CXE22:CXL22"/>
    <mergeCell ref="CXM22:CXT22"/>
    <mergeCell ref="CXU22:CYB22"/>
    <mergeCell ref="CYC22:CYJ22"/>
    <mergeCell ref="CYK22:CYR22"/>
    <mergeCell ref="CYS22:CYZ22"/>
    <mergeCell ref="CVI22:CVP22"/>
    <mergeCell ref="CVQ22:CVX22"/>
    <mergeCell ref="CVY22:CWF22"/>
    <mergeCell ref="CWG22:CWN22"/>
    <mergeCell ref="CWO22:CWV22"/>
    <mergeCell ref="CWW22:CXD22"/>
    <mergeCell ref="CTM22:CTT22"/>
    <mergeCell ref="CTU22:CUB22"/>
    <mergeCell ref="CUC22:CUJ22"/>
    <mergeCell ref="CUK22:CUR22"/>
    <mergeCell ref="CUS22:CUZ22"/>
    <mergeCell ref="CVA22:CVH22"/>
    <mergeCell ref="CRQ22:CRX22"/>
    <mergeCell ref="CRY22:CSF22"/>
    <mergeCell ref="CSG22:CSN22"/>
    <mergeCell ref="CSO22:CSV22"/>
    <mergeCell ref="CSW22:CTD22"/>
    <mergeCell ref="CTE22:CTL22"/>
    <mergeCell ref="CPU22:CQB22"/>
    <mergeCell ref="CQC22:CQJ22"/>
    <mergeCell ref="CQK22:CQR22"/>
    <mergeCell ref="CQS22:CQZ22"/>
    <mergeCell ref="CRA22:CRH22"/>
    <mergeCell ref="CRI22:CRP22"/>
    <mergeCell ref="CNY22:COF22"/>
    <mergeCell ref="COG22:CON22"/>
    <mergeCell ref="COO22:COV22"/>
    <mergeCell ref="COW22:CPD22"/>
    <mergeCell ref="CPE22:CPL22"/>
    <mergeCell ref="CPM22:CPT22"/>
    <mergeCell ref="CMC22:CMJ22"/>
    <mergeCell ref="CMK22:CMR22"/>
    <mergeCell ref="CMS22:CMZ22"/>
    <mergeCell ref="CNA22:CNH22"/>
    <mergeCell ref="CNI22:CNP22"/>
    <mergeCell ref="CNQ22:CNX22"/>
    <mergeCell ref="CKG22:CKN22"/>
    <mergeCell ref="CKO22:CKV22"/>
    <mergeCell ref="CKW22:CLD22"/>
    <mergeCell ref="CLE22:CLL22"/>
    <mergeCell ref="CLM22:CLT22"/>
    <mergeCell ref="CLU22:CMB22"/>
    <mergeCell ref="CIK22:CIR22"/>
    <mergeCell ref="CIS22:CIZ22"/>
    <mergeCell ref="CJA22:CJH22"/>
    <mergeCell ref="CJI22:CJP22"/>
    <mergeCell ref="CJQ22:CJX22"/>
    <mergeCell ref="CJY22:CKF22"/>
    <mergeCell ref="CGO22:CGV22"/>
    <mergeCell ref="CGW22:CHD22"/>
    <mergeCell ref="CHE22:CHL22"/>
    <mergeCell ref="CHM22:CHT22"/>
    <mergeCell ref="CHU22:CIB22"/>
    <mergeCell ref="CIC22:CIJ22"/>
    <mergeCell ref="CES22:CEZ22"/>
    <mergeCell ref="CFA22:CFH22"/>
    <mergeCell ref="CFI22:CFP22"/>
    <mergeCell ref="CFQ22:CFX22"/>
    <mergeCell ref="CFY22:CGF22"/>
    <mergeCell ref="CGG22:CGN22"/>
    <mergeCell ref="CCW22:CDD22"/>
    <mergeCell ref="CDE22:CDL22"/>
    <mergeCell ref="CDM22:CDT22"/>
    <mergeCell ref="CDU22:CEB22"/>
    <mergeCell ref="CEC22:CEJ22"/>
    <mergeCell ref="CEK22:CER22"/>
    <mergeCell ref="CBA22:CBH22"/>
    <mergeCell ref="CBI22:CBP22"/>
    <mergeCell ref="CBQ22:CBX22"/>
    <mergeCell ref="CBY22:CCF22"/>
    <mergeCell ref="CCG22:CCN22"/>
    <mergeCell ref="CCO22:CCV22"/>
    <mergeCell ref="BZE22:BZL22"/>
    <mergeCell ref="BZM22:BZT22"/>
    <mergeCell ref="BZU22:CAB22"/>
    <mergeCell ref="CAC22:CAJ22"/>
    <mergeCell ref="CAK22:CAR22"/>
    <mergeCell ref="CAS22:CAZ22"/>
    <mergeCell ref="BXI22:BXP22"/>
    <mergeCell ref="BXQ22:BXX22"/>
    <mergeCell ref="BXY22:BYF22"/>
    <mergeCell ref="BYG22:BYN22"/>
    <mergeCell ref="BYO22:BYV22"/>
    <mergeCell ref="BYW22:BZD22"/>
    <mergeCell ref="BVM22:BVT22"/>
    <mergeCell ref="BVU22:BWB22"/>
    <mergeCell ref="BWC22:BWJ22"/>
    <mergeCell ref="BWK22:BWR22"/>
    <mergeCell ref="BWS22:BWZ22"/>
    <mergeCell ref="BXA22:BXH22"/>
    <mergeCell ref="BTQ22:BTX22"/>
    <mergeCell ref="BTY22:BUF22"/>
    <mergeCell ref="BUG22:BUN22"/>
    <mergeCell ref="BUO22:BUV22"/>
    <mergeCell ref="BUW22:BVD22"/>
    <mergeCell ref="BVE22:BVL22"/>
    <mergeCell ref="BRU22:BSB22"/>
    <mergeCell ref="BSC22:BSJ22"/>
    <mergeCell ref="BSK22:BSR22"/>
    <mergeCell ref="BSS22:BSZ22"/>
    <mergeCell ref="BTA22:BTH22"/>
    <mergeCell ref="BTI22:BTP22"/>
    <mergeCell ref="BPY22:BQF22"/>
    <mergeCell ref="BQG22:BQN22"/>
    <mergeCell ref="BQO22:BQV22"/>
    <mergeCell ref="BQW22:BRD22"/>
    <mergeCell ref="BRE22:BRL22"/>
    <mergeCell ref="BRM22:BRT22"/>
    <mergeCell ref="BOC22:BOJ22"/>
    <mergeCell ref="BOK22:BOR22"/>
    <mergeCell ref="BOS22:BOZ22"/>
    <mergeCell ref="BPA22:BPH22"/>
    <mergeCell ref="BPI22:BPP22"/>
    <mergeCell ref="BPQ22:BPX22"/>
    <mergeCell ref="BMG22:BMN22"/>
    <mergeCell ref="BMO22:BMV22"/>
    <mergeCell ref="BMW22:BND22"/>
    <mergeCell ref="BNE22:BNL22"/>
    <mergeCell ref="BNM22:BNT22"/>
    <mergeCell ref="BNU22:BOB22"/>
    <mergeCell ref="BKK22:BKR22"/>
    <mergeCell ref="BKS22:BKZ22"/>
    <mergeCell ref="BLA22:BLH22"/>
    <mergeCell ref="BLI22:BLP22"/>
    <mergeCell ref="BLQ22:BLX22"/>
    <mergeCell ref="BLY22:BMF22"/>
    <mergeCell ref="BIO22:BIV22"/>
    <mergeCell ref="BIW22:BJD22"/>
    <mergeCell ref="BJE22:BJL22"/>
    <mergeCell ref="BJM22:BJT22"/>
    <mergeCell ref="BJU22:BKB22"/>
    <mergeCell ref="BKC22:BKJ22"/>
    <mergeCell ref="BGS22:BGZ22"/>
    <mergeCell ref="BHA22:BHH22"/>
    <mergeCell ref="BHI22:BHP22"/>
    <mergeCell ref="BHQ22:BHX22"/>
    <mergeCell ref="BHY22:BIF22"/>
    <mergeCell ref="BIG22:BIN22"/>
    <mergeCell ref="BEW22:BFD22"/>
    <mergeCell ref="BFE22:BFL22"/>
    <mergeCell ref="BFM22:BFT22"/>
    <mergeCell ref="BFU22:BGB22"/>
    <mergeCell ref="BGC22:BGJ22"/>
    <mergeCell ref="BGK22:BGR22"/>
    <mergeCell ref="BDA22:BDH22"/>
    <mergeCell ref="BDI22:BDP22"/>
    <mergeCell ref="BDQ22:BDX22"/>
    <mergeCell ref="BDY22:BEF22"/>
    <mergeCell ref="BEG22:BEN22"/>
    <mergeCell ref="BEO22:BEV22"/>
    <mergeCell ref="BBE22:BBL22"/>
    <mergeCell ref="BBM22:BBT22"/>
    <mergeCell ref="BBU22:BCB22"/>
    <mergeCell ref="BCC22:BCJ22"/>
    <mergeCell ref="BCK22:BCR22"/>
    <mergeCell ref="BCS22:BCZ22"/>
    <mergeCell ref="AZI22:AZP22"/>
    <mergeCell ref="AZQ22:AZX22"/>
    <mergeCell ref="AZY22:BAF22"/>
    <mergeCell ref="BAG22:BAN22"/>
    <mergeCell ref="BAO22:BAV22"/>
    <mergeCell ref="BAW22:BBD22"/>
    <mergeCell ref="AXM22:AXT22"/>
    <mergeCell ref="AXU22:AYB22"/>
    <mergeCell ref="AYC22:AYJ22"/>
    <mergeCell ref="AYK22:AYR22"/>
    <mergeCell ref="AYS22:AYZ22"/>
    <mergeCell ref="AZA22:AZH22"/>
    <mergeCell ref="AVQ22:AVX22"/>
    <mergeCell ref="AVY22:AWF22"/>
    <mergeCell ref="AWG22:AWN22"/>
    <mergeCell ref="AWO22:AWV22"/>
    <mergeCell ref="AWW22:AXD22"/>
    <mergeCell ref="AXE22:AXL22"/>
    <mergeCell ref="ATU22:AUB22"/>
    <mergeCell ref="AUC22:AUJ22"/>
    <mergeCell ref="AUK22:AUR22"/>
    <mergeCell ref="AUS22:AUZ22"/>
    <mergeCell ref="AVA22:AVH22"/>
    <mergeCell ref="AVI22:AVP22"/>
    <mergeCell ref="ARY22:ASF22"/>
    <mergeCell ref="ASG22:ASN22"/>
    <mergeCell ref="ASO22:ASV22"/>
    <mergeCell ref="ASW22:ATD22"/>
    <mergeCell ref="ATE22:ATL22"/>
    <mergeCell ref="ATM22:ATT22"/>
    <mergeCell ref="AQC22:AQJ22"/>
    <mergeCell ref="AQK22:AQR22"/>
    <mergeCell ref="AQS22:AQZ22"/>
    <mergeCell ref="ARA22:ARH22"/>
    <mergeCell ref="ARI22:ARP22"/>
    <mergeCell ref="ARQ22:ARX22"/>
    <mergeCell ref="AOG22:AON22"/>
    <mergeCell ref="AOO22:AOV22"/>
    <mergeCell ref="AOW22:APD22"/>
    <mergeCell ref="APE22:APL22"/>
    <mergeCell ref="APM22:APT22"/>
    <mergeCell ref="APU22:AQB22"/>
    <mergeCell ref="AMK22:AMR22"/>
    <mergeCell ref="AMS22:AMZ22"/>
    <mergeCell ref="ANA22:ANH22"/>
    <mergeCell ref="ANI22:ANP22"/>
    <mergeCell ref="ANQ22:ANX22"/>
    <mergeCell ref="ANY22:AOF22"/>
    <mergeCell ref="AKO22:AKV22"/>
    <mergeCell ref="AKW22:ALD22"/>
    <mergeCell ref="ALE22:ALL22"/>
    <mergeCell ref="ALM22:ALT22"/>
    <mergeCell ref="ALU22:AMB22"/>
    <mergeCell ref="AMC22:AMJ22"/>
    <mergeCell ref="AIS22:AIZ22"/>
    <mergeCell ref="AJA22:AJH22"/>
    <mergeCell ref="AJI22:AJP22"/>
    <mergeCell ref="AJQ22:AJX22"/>
    <mergeCell ref="AJY22:AKF22"/>
    <mergeCell ref="AKG22:AKN22"/>
    <mergeCell ref="AGW22:AHD22"/>
    <mergeCell ref="AHE22:AHL22"/>
    <mergeCell ref="AHM22:AHT22"/>
    <mergeCell ref="AHU22:AIB22"/>
    <mergeCell ref="AIC22:AIJ22"/>
    <mergeCell ref="AIK22:AIR22"/>
    <mergeCell ref="AFA22:AFH22"/>
    <mergeCell ref="AFI22:AFP22"/>
    <mergeCell ref="AFQ22:AFX22"/>
    <mergeCell ref="AFY22:AGF22"/>
    <mergeCell ref="AGG22:AGN22"/>
    <mergeCell ref="AGO22:AGV22"/>
    <mergeCell ref="ADE22:ADL22"/>
    <mergeCell ref="ADM22:ADT22"/>
    <mergeCell ref="ADU22:AEB22"/>
    <mergeCell ref="AEC22:AEJ22"/>
    <mergeCell ref="AEK22:AER22"/>
    <mergeCell ref="AES22:AEZ22"/>
    <mergeCell ref="ABI22:ABP22"/>
    <mergeCell ref="ABQ22:ABX22"/>
    <mergeCell ref="ABY22:ACF22"/>
    <mergeCell ref="ACG22:ACN22"/>
    <mergeCell ref="ACO22:ACV22"/>
    <mergeCell ref="ACW22:ADD22"/>
    <mergeCell ref="ZM22:ZT22"/>
    <mergeCell ref="ZU22:AAB22"/>
    <mergeCell ref="AAC22:AAJ22"/>
    <mergeCell ref="AAK22:AAR22"/>
    <mergeCell ref="AAS22:AAZ22"/>
    <mergeCell ref="ABA22:ABH22"/>
    <mergeCell ref="XQ22:XX22"/>
    <mergeCell ref="XY22:YF22"/>
    <mergeCell ref="YG22:YN22"/>
    <mergeCell ref="YO22:YV22"/>
    <mergeCell ref="YW22:ZD22"/>
    <mergeCell ref="ZE22:ZL22"/>
    <mergeCell ref="VU22:WB22"/>
    <mergeCell ref="WC22:WJ22"/>
    <mergeCell ref="WK22:WR22"/>
    <mergeCell ref="WS22:WZ22"/>
    <mergeCell ref="XA22:XH22"/>
    <mergeCell ref="XI22:XP22"/>
    <mergeCell ref="TY22:UF22"/>
    <mergeCell ref="UG22:UN22"/>
    <mergeCell ref="UO22:UV22"/>
    <mergeCell ref="UW22:VD22"/>
    <mergeCell ref="VE22:VL22"/>
    <mergeCell ref="VM22:VT22"/>
    <mergeCell ref="SC22:SJ22"/>
    <mergeCell ref="SK22:SR22"/>
    <mergeCell ref="SS22:SZ22"/>
    <mergeCell ref="TA22:TH22"/>
    <mergeCell ref="TI22:TP22"/>
    <mergeCell ref="TQ22:TX22"/>
    <mergeCell ref="QG22:QN22"/>
    <mergeCell ref="QO22:QV22"/>
    <mergeCell ref="QW22:RD22"/>
    <mergeCell ref="RE22:RL22"/>
    <mergeCell ref="RM22:RT22"/>
    <mergeCell ref="RU22:SB22"/>
    <mergeCell ref="OK22:OR22"/>
    <mergeCell ref="OS22:OZ22"/>
    <mergeCell ref="PA22:PH22"/>
    <mergeCell ref="PI22:PP22"/>
    <mergeCell ref="PQ22:PX22"/>
    <mergeCell ref="PY22:QF22"/>
    <mergeCell ref="MO22:MV22"/>
    <mergeCell ref="MW22:ND22"/>
    <mergeCell ref="NE22:NL22"/>
    <mergeCell ref="NM22:NT22"/>
    <mergeCell ref="NU22:OB22"/>
    <mergeCell ref="OC22:OJ22"/>
    <mergeCell ref="KS22:KZ22"/>
    <mergeCell ref="LA22:LH22"/>
    <mergeCell ref="LI22:LP22"/>
    <mergeCell ref="LQ22:LX22"/>
    <mergeCell ref="LY22:MF22"/>
    <mergeCell ref="MG22:MN22"/>
    <mergeCell ref="IW22:JD22"/>
    <mergeCell ref="JE22:JL22"/>
    <mergeCell ref="JM22:JT22"/>
    <mergeCell ref="JU22:KB22"/>
    <mergeCell ref="KC22:KJ22"/>
    <mergeCell ref="KK22:KR22"/>
    <mergeCell ref="HA22:HH22"/>
    <mergeCell ref="HI22:HP22"/>
    <mergeCell ref="HQ22:HX22"/>
    <mergeCell ref="HY22:IF22"/>
    <mergeCell ref="IG22:IN22"/>
    <mergeCell ref="IO22:IV22"/>
    <mergeCell ref="FE22:FL22"/>
    <mergeCell ref="FM22:FT22"/>
    <mergeCell ref="FU22:GB22"/>
    <mergeCell ref="GC22:GJ22"/>
    <mergeCell ref="GK22:GR22"/>
    <mergeCell ref="GS22:GZ22"/>
    <mergeCell ref="DI22:DP22"/>
    <mergeCell ref="DQ22:DX22"/>
    <mergeCell ref="DY22:EF22"/>
    <mergeCell ref="EG22:EN22"/>
    <mergeCell ref="EO22:EV22"/>
    <mergeCell ref="EW22:FD22"/>
    <mergeCell ref="CC22:CJ22"/>
    <mergeCell ref="CK22:CR22"/>
    <mergeCell ref="CS22:CZ22"/>
    <mergeCell ref="DA22:DH22"/>
    <mergeCell ref="Q22:X22"/>
    <mergeCell ref="Y22:AF22"/>
    <mergeCell ref="AG22:AN22"/>
    <mergeCell ref="AO22:AV22"/>
    <mergeCell ref="AW22:BD22"/>
    <mergeCell ref="BE22:BL22"/>
    <mergeCell ref="A41:H41"/>
    <mergeCell ref="A42:H42"/>
    <mergeCell ref="A43:H43"/>
    <mergeCell ref="A25:H25"/>
    <mergeCell ref="A5:H5"/>
    <mergeCell ref="A28:H28"/>
    <mergeCell ref="A30:C30"/>
    <mergeCell ref="D30:E30"/>
    <mergeCell ref="F30:F31"/>
    <mergeCell ref="G30:G31"/>
    <mergeCell ref="H30:H31"/>
    <mergeCell ref="A40:C40"/>
    <mergeCell ref="A26:B26"/>
    <mergeCell ref="C26:H26"/>
    <mergeCell ref="A27:B27"/>
    <mergeCell ref="C27:H27"/>
    <mergeCell ref="A29:C29"/>
    <mergeCell ref="D29:F29"/>
    <mergeCell ref="G29:H29"/>
    <mergeCell ref="A7:C7"/>
    <mergeCell ref="D7:E7"/>
    <mergeCell ref="A1:H1"/>
    <mergeCell ref="A2:H2"/>
    <mergeCell ref="BM22:BT22"/>
    <mergeCell ref="BU22:CB22"/>
    <mergeCell ref="A731:H731"/>
    <mergeCell ref="A722:B722"/>
    <mergeCell ref="C722:H722"/>
    <mergeCell ref="A725:C725"/>
    <mergeCell ref="A723:B723"/>
    <mergeCell ref="C723:H723"/>
    <mergeCell ref="D725:F725"/>
    <mergeCell ref="G725:H725"/>
    <mergeCell ref="A726:C726"/>
    <mergeCell ref="D726:E726"/>
    <mergeCell ref="F726:F727"/>
    <mergeCell ref="G726:G727"/>
    <mergeCell ref="H726:H727"/>
    <mergeCell ref="A729:C729"/>
    <mergeCell ref="A22:H22"/>
    <mergeCell ref="A23:H23"/>
    <mergeCell ref="A24:H24"/>
    <mergeCell ref="A46:B46"/>
    <mergeCell ref="C46:H46"/>
    <mergeCell ref="A48:C48"/>
    <mergeCell ref="D48:F48"/>
    <mergeCell ref="G48:H48"/>
    <mergeCell ref="A106:B106"/>
    <mergeCell ref="C106:H106"/>
    <mergeCell ref="A108:C108"/>
    <mergeCell ref="D108:F108"/>
    <mergeCell ref="G108:H108"/>
    <mergeCell ref="A109:C109"/>
    <mergeCell ref="A85:B85"/>
    <mergeCell ref="C85:H85"/>
    <mergeCell ref="A86:B86"/>
    <mergeCell ref="C86:H86"/>
    <mergeCell ref="A49:C49"/>
    <mergeCell ref="D49:E49"/>
    <mergeCell ref="F49:F50"/>
    <mergeCell ref="G49:G50"/>
    <mergeCell ref="H49:H50"/>
    <mergeCell ref="A80:C80"/>
    <mergeCell ref="A45:B45"/>
    <mergeCell ref="C45:H45"/>
    <mergeCell ref="F7:F8"/>
    <mergeCell ref="G7:G8"/>
    <mergeCell ref="H7:H8"/>
    <mergeCell ref="A21:C21"/>
    <mergeCell ref="A3:B3"/>
    <mergeCell ref="C3:H3"/>
    <mergeCell ref="A4:B4"/>
    <mergeCell ref="C4:H4"/>
    <mergeCell ref="A6:C6"/>
    <mergeCell ref="D6:F6"/>
    <mergeCell ref="G6:H6"/>
    <mergeCell ref="A81:H81"/>
    <mergeCell ref="A82:H82"/>
    <mergeCell ref="A83:H83"/>
  </mergeCells>
  <pageMargins left="0.511811024" right="0.511811024" top="0.78740157499999996" bottom="0.78740157499999996" header="0.31496062000000002" footer="0.31496062000000002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700-000000000000}">
          <x14:formula1>
            <xm:f>'C:\Users\reinaldo.antero\Desktop\Lívian\2021\Orçamento 2022\[TMP-Anexo 4. Descritivo (com ações estratégicas)-r02.xlsx]AÇÕES ESTRATÉGICAS - DESCRIÇÃO '!#REF!</xm:f>
          </x14:formula1>
          <xm:sqref>C9:C20 C32:C39 C51:C79 C91:C99 C111:C127 C139:C158 C170:C198 C210:C216 C228 C240 C252 C264 C276 C287 C299 C311 C323:C335 C689:C716 C360:C372 C384:C391 C403:C408 C420:C421 C433:C438 C450:C462 C474:C479 C491 C728 C522 C534:C538 C550 C562 C574:C581 C593:C602 C614:C617 C629:C632 C644:C647 C659:C662 C674:C677 C347:C348 C503:C510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7030A0"/>
  </sheetPr>
  <dimension ref="A1:AW34"/>
  <sheetViews>
    <sheetView topLeftCell="C19" zoomScale="150" zoomScaleNormal="150" workbookViewId="0">
      <selection activeCell="G29" sqref="G29"/>
    </sheetView>
  </sheetViews>
  <sheetFormatPr defaultRowHeight="15.75"/>
  <cols>
    <col min="1" max="1" width="48.7109375" style="4" bestFit="1" customWidth="1"/>
    <col min="2" max="2" width="42.5703125" style="4" bestFit="1" customWidth="1"/>
    <col min="3" max="3" width="46.28515625" style="4" bestFit="1" customWidth="1"/>
    <col min="4" max="4" width="127.85546875" style="4" customWidth="1"/>
    <col min="5" max="8" width="9.140625" style="4"/>
    <col min="9" max="9" width="13.5703125" style="4" bestFit="1" customWidth="1"/>
    <col min="10" max="49" width="9.140625" style="4"/>
  </cols>
  <sheetData>
    <row r="1" spans="1:7">
      <c r="A1" s="4" t="s">
        <v>776</v>
      </c>
      <c r="B1" s="6" t="s">
        <v>452</v>
      </c>
      <c r="C1" s="6" t="s">
        <v>482</v>
      </c>
      <c r="D1" s="4" t="s">
        <v>145</v>
      </c>
      <c r="E1" s="4" t="s">
        <v>229</v>
      </c>
      <c r="G1" s="4" t="s">
        <v>777</v>
      </c>
    </row>
    <row r="2" spans="1:7">
      <c r="A2" s="4" t="s">
        <v>778</v>
      </c>
      <c r="B2" s="6" t="s">
        <v>453</v>
      </c>
      <c r="C2" s="6" t="s">
        <v>779</v>
      </c>
      <c r="D2" s="4" t="s">
        <v>253</v>
      </c>
      <c r="E2" s="4" t="s">
        <v>190</v>
      </c>
      <c r="G2" s="4" t="s">
        <v>780</v>
      </c>
    </row>
    <row r="3" spans="1:7">
      <c r="A3" s="4" t="s">
        <v>781</v>
      </c>
      <c r="B3" s="5" t="s">
        <v>444</v>
      </c>
      <c r="C3" s="6" t="s">
        <v>782</v>
      </c>
      <c r="D3" s="4" t="s">
        <v>98</v>
      </c>
      <c r="E3" s="4" t="s">
        <v>783</v>
      </c>
      <c r="G3" s="4" t="s">
        <v>784</v>
      </c>
    </row>
    <row r="4" spans="1:7">
      <c r="A4" s="4" t="s">
        <v>194</v>
      </c>
      <c r="B4" s="7" t="s">
        <v>785</v>
      </c>
      <c r="C4" s="6" t="s">
        <v>643</v>
      </c>
      <c r="D4" s="4" t="s">
        <v>128</v>
      </c>
      <c r="F4" s="4" t="s">
        <v>786</v>
      </c>
      <c r="G4" s="4" t="s">
        <v>787</v>
      </c>
    </row>
    <row r="5" spans="1:7">
      <c r="A5" s="4" t="s">
        <v>266</v>
      </c>
      <c r="B5" s="7" t="s">
        <v>788</v>
      </c>
      <c r="C5" s="6" t="s">
        <v>556</v>
      </c>
      <c r="D5" s="4" t="s">
        <v>157</v>
      </c>
      <c r="F5" s="4" t="s">
        <v>789</v>
      </c>
      <c r="G5" s="4" t="s">
        <v>790</v>
      </c>
    </row>
    <row r="6" spans="1:7">
      <c r="A6" s="4" t="s">
        <v>791</v>
      </c>
      <c r="B6" s="7" t="s">
        <v>792</v>
      </c>
      <c r="C6" s="6" t="s">
        <v>793</v>
      </c>
      <c r="D6" s="4" t="s">
        <v>153</v>
      </c>
      <c r="F6" s="4" t="s">
        <v>794</v>
      </c>
      <c r="G6" s="4" t="s">
        <v>795</v>
      </c>
    </row>
    <row r="7" spans="1:7">
      <c r="A7" s="4" t="s">
        <v>796</v>
      </c>
      <c r="B7" s="7" t="s">
        <v>797</v>
      </c>
      <c r="C7" s="6" t="s">
        <v>554</v>
      </c>
      <c r="D7" s="4" t="s">
        <v>220</v>
      </c>
      <c r="G7" s="4" t="s">
        <v>798</v>
      </c>
    </row>
    <row r="8" spans="1:7">
      <c r="A8" s="4" t="s">
        <v>250</v>
      </c>
      <c r="B8" s="7" t="s">
        <v>446</v>
      </c>
      <c r="C8" s="6" t="s">
        <v>561</v>
      </c>
      <c r="D8" s="4" t="s">
        <v>75</v>
      </c>
      <c r="G8" s="4" t="s">
        <v>799</v>
      </c>
    </row>
    <row r="9" spans="1:7">
      <c r="A9" s="4" t="s">
        <v>800</v>
      </c>
      <c r="B9" s="7" t="s">
        <v>801</v>
      </c>
      <c r="C9" s="6" t="s">
        <v>585</v>
      </c>
      <c r="D9" s="4" t="s">
        <v>119</v>
      </c>
      <c r="G9" s="4" t="s">
        <v>802</v>
      </c>
    </row>
    <row r="10" spans="1:7">
      <c r="A10" s="4" t="s">
        <v>803</v>
      </c>
      <c r="B10" s="6" t="s">
        <v>448</v>
      </c>
      <c r="C10" s="6" t="s">
        <v>549</v>
      </c>
      <c r="D10" s="4" t="s">
        <v>213</v>
      </c>
      <c r="G10" s="4" t="s">
        <v>804</v>
      </c>
    </row>
    <row r="11" spans="1:7">
      <c r="A11" s="4" t="s">
        <v>203</v>
      </c>
      <c r="B11" s="6" t="s">
        <v>450</v>
      </c>
      <c r="C11" s="6" t="s">
        <v>589</v>
      </c>
      <c r="D11" s="4" t="s">
        <v>19</v>
      </c>
      <c r="G11" s="4" t="s">
        <v>17</v>
      </c>
    </row>
    <row r="12" spans="1:7">
      <c r="A12" s="4" t="s">
        <v>805</v>
      </c>
      <c r="C12" s="6" t="s">
        <v>569</v>
      </c>
      <c r="D12" s="4" t="s">
        <v>193</v>
      </c>
      <c r="G12" s="4" t="s">
        <v>806</v>
      </c>
    </row>
    <row r="13" spans="1:7">
      <c r="A13" s="4" t="s">
        <v>807</v>
      </c>
      <c r="B13" s="5"/>
      <c r="C13" s="6" t="s">
        <v>479</v>
      </c>
      <c r="D13" s="4" t="s">
        <v>109</v>
      </c>
      <c r="G13" s="4" t="s">
        <v>808</v>
      </c>
    </row>
    <row r="14" spans="1:7">
      <c r="A14" s="4" t="s">
        <v>809</v>
      </c>
      <c r="B14" s="5"/>
      <c r="C14" s="6" t="s">
        <v>485</v>
      </c>
      <c r="D14" s="4" t="s">
        <v>163</v>
      </c>
      <c r="G14" s="4" t="s">
        <v>810</v>
      </c>
    </row>
    <row r="15" spans="1:7">
      <c r="A15" s="4" t="s">
        <v>811</v>
      </c>
      <c r="B15" s="5"/>
      <c r="C15" s="6" t="s">
        <v>496</v>
      </c>
      <c r="D15" s="4" t="s">
        <v>30</v>
      </c>
      <c r="G15" s="4" t="s">
        <v>812</v>
      </c>
    </row>
    <row r="16" spans="1:7">
      <c r="A16" s="4" t="s">
        <v>199</v>
      </c>
      <c r="B16" s="5"/>
      <c r="C16" s="6" t="s">
        <v>494</v>
      </c>
      <c r="D16" s="4" t="s">
        <v>329</v>
      </c>
      <c r="G16" s="4" t="s">
        <v>783</v>
      </c>
    </row>
    <row r="17" spans="1:7">
      <c r="A17" s="4" t="s">
        <v>232</v>
      </c>
      <c r="B17" s="5"/>
      <c r="C17" s="6" t="s">
        <v>498</v>
      </c>
      <c r="G17" s="4" t="s">
        <v>813</v>
      </c>
    </row>
    <row r="18" spans="1:7">
      <c r="B18" s="5"/>
      <c r="C18" s="6" t="s">
        <v>507</v>
      </c>
      <c r="G18" s="4" t="s">
        <v>814</v>
      </c>
    </row>
    <row r="19" spans="1:7">
      <c r="C19" s="6" t="s">
        <v>815</v>
      </c>
      <c r="G19" s="4" t="s">
        <v>816</v>
      </c>
    </row>
    <row r="20" spans="1:7">
      <c r="C20" s="6" t="s">
        <v>504</v>
      </c>
      <c r="G20" s="4" t="s">
        <v>817</v>
      </c>
    </row>
    <row r="21" spans="1:7">
      <c r="C21" s="6" t="s">
        <v>511</v>
      </c>
      <c r="G21" s="4" t="s">
        <v>818</v>
      </c>
    </row>
    <row r="22" spans="1:7">
      <c r="G22" s="4" t="s">
        <v>819</v>
      </c>
    </row>
    <row r="23" spans="1:7">
      <c r="G23" s="4" t="s">
        <v>820</v>
      </c>
    </row>
    <row r="24" spans="1:7">
      <c r="G24" s="4" t="s">
        <v>821</v>
      </c>
    </row>
    <row r="25" spans="1:7">
      <c r="G25" s="4" t="s">
        <v>822</v>
      </c>
    </row>
    <row r="26" spans="1:7">
      <c r="G26" s="4" t="s">
        <v>823</v>
      </c>
    </row>
    <row r="27" spans="1:7">
      <c r="G27" s="4" t="s">
        <v>824</v>
      </c>
    </row>
    <row r="28" spans="1:7">
      <c r="G28" s="4" t="s">
        <v>825</v>
      </c>
    </row>
    <row r="34" spans="1:1">
      <c r="A34" s="4" t="s">
        <v>826</v>
      </c>
    </row>
  </sheetData>
  <sortState xmlns:xlrd2="http://schemas.microsoft.com/office/spreadsheetml/2017/richdata2" ref="D1:D15">
    <sortCondition ref="D1"/>
  </sortState>
  <pageMargins left="0.511811024" right="0.511811024" top="0.78740157499999996" bottom="0.78740157499999996" header="0.31496062000000002" footer="0.31496062000000002"/>
  <pageSetup paperSize="28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>Luiz Antonio Poletto</Manager>
  <Company>CAU/BR</Company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>Programação 2022</dc:subject>
  <dc:creator>GERPLAN-CAU/BR</dc:creator>
  <cp:keywords/>
  <dc:description/>
  <cp:lastModifiedBy/>
  <cp:revision/>
  <dcterms:created xsi:type="dcterms:W3CDTF">2013-07-30T15:20:59Z</dcterms:created>
  <dcterms:modified xsi:type="dcterms:W3CDTF">2022-10-14T13:17:24Z</dcterms:modified>
  <cp:category/>
  <cp:contentStatus/>
</cp:coreProperties>
</file>