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riel.lazzarin\Downloads\"/>
    </mc:Choice>
  </mc:AlternateContent>
  <xr:revisionPtr revIDLastSave="0" documentId="13_ncr:1_{636ECB29-236D-46F8-8ED6-D358D3F0CECE}" xr6:coauthVersionLast="47" xr6:coauthVersionMax="47" xr10:uidLastSave="{00000000-0000-0000-0000-000000000000}"/>
  <bookViews>
    <workbookView xWindow="-120" yWindow="-120" windowWidth="20730" windowHeight="11160" tabRatio="884" firstSheet="3" activeTab="4" xr2:uid="{00000000-000D-0000-FFFF-FFFF00000000}"/>
  </bookViews>
  <sheets>
    <sheet name="Orientações Iniciais" sheetId="35" state="hidden" r:id="rId1"/>
    <sheet name="Mapa Estratégico e ODS" sheetId="36" r:id="rId2"/>
    <sheet name="Indicadores e Metas" sheetId="39" r:id="rId3"/>
    <sheet name="Quadro Geral" sheetId="15" r:id="rId4"/>
    <sheet name="Anexo 1. Fontes e Aplicações" sheetId="8" r:id="rId5"/>
    <sheet name="Anexo 2. Limites Estratégicos" sheetId="23" r:id="rId6"/>
    <sheet name="Anexo 3. Elemento de Despesas" sheetId="18" r:id="rId7"/>
    <sheet name="Validação de dados" sheetId="31" state="hidden" r:id="rId8"/>
    <sheet name="Matriz de Obj. Estrat." sheetId="41" r:id="rId9"/>
    <sheet name="Diretrizes - Resumo" sheetId="42" r:id="rId10"/>
  </sheets>
  <externalReferences>
    <externalReference r:id="rId11"/>
    <externalReference r:id="rId12"/>
    <externalReference r:id="rId13"/>
    <externalReference r:id="rId14"/>
  </externalReferences>
  <definedNames>
    <definedName name="__xlfn_IFERROR">#N/A</definedName>
    <definedName name="_xlnm._FilterDatabase" localSheetId="6" hidden="1">'Anexo 3. Elemento de Despesas'!$A$6:$AD$53</definedName>
    <definedName name="_xlnm._FilterDatabase" localSheetId="9" hidden="1">'Diretrizes - Resumo'!$A$3:$T$30</definedName>
    <definedName name="_xlnm._FilterDatabase" localSheetId="2" hidden="1">'Indicadores e Metas'!$A$29:$K$101</definedName>
    <definedName name="_xlnm._FilterDatabase" localSheetId="3" hidden="1">'Quadro Geral'!$A$7:$T$52</definedName>
    <definedName name="A" localSheetId="9">#REF!</definedName>
    <definedName name="A" localSheetId="2">#REF!</definedName>
    <definedName name="A" localSheetId="8">#REF!</definedName>
    <definedName name="A" localSheetId="0">#REF!</definedName>
    <definedName name="A" localSheetId="3">#REF!</definedName>
    <definedName name="A">#REF!</definedName>
    <definedName name="aaa">#REF!</definedName>
    <definedName name="Anexo" localSheetId="9">#REF!</definedName>
    <definedName name="Anexo" localSheetId="2">#REF!</definedName>
    <definedName name="Anexo" localSheetId="8">#REF!</definedName>
    <definedName name="Anexo">#REF!</definedName>
    <definedName name="Anexo_1.4.4" localSheetId="9">#REF!</definedName>
    <definedName name="Anexo_1.4.4" localSheetId="2">#REF!</definedName>
    <definedName name="Anexo_1.4.4" localSheetId="8">#REF!</definedName>
    <definedName name="Anexo_1.4.4">#REF!</definedName>
    <definedName name="ar">#N/A</definedName>
    <definedName name="_xlnm.Print_Area" localSheetId="4">'Anexo 1. Fontes e Aplicações'!$A$2:$G$61</definedName>
    <definedName name="_xlnm.Print_Area" localSheetId="2">'Indicadores e Metas'!$A$1:$F$108</definedName>
    <definedName name="_xlnm.Print_Area" localSheetId="1">'Mapa Estratégico e ODS'!$A$2:$K$5</definedName>
    <definedName name="_xlnm.Print_Area" localSheetId="8">'Matriz de Obj. Estrat.'!$A$1:$K$19</definedName>
    <definedName name="_xlnm.Print_Area" localSheetId="3">'Quadro Geral'!$A$1:$K$54</definedName>
    <definedName name="asas" localSheetId="9">#REF!</definedName>
    <definedName name="asas" localSheetId="2">#REF!</definedName>
    <definedName name="asas" localSheetId="8">#REF!</definedName>
    <definedName name="asas">#REF!</definedName>
    <definedName name="ass" localSheetId="9">#REF!</definedName>
    <definedName name="ass" localSheetId="2">#REF!</definedName>
    <definedName name="ass" localSheetId="8">#REF!</definedName>
    <definedName name="ass">#REF!</definedName>
    <definedName name="_xlnm.Database" localSheetId="9">#REF!</definedName>
    <definedName name="_xlnm.Database" localSheetId="2">#REF!</definedName>
    <definedName name="_xlnm.Database" localSheetId="8">#REF!</definedName>
    <definedName name="_xlnm.Database" localSheetId="0">#REF!</definedName>
    <definedName name="_xlnm.Database" localSheetId="3">#REF!</definedName>
    <definedName name="_xlnm.Database">#REF!</definedName>
    <definedName name="banco_de_dados_sym" localSheetId="9">#REF!</definedName>
    <definedName name="banco_de_dados_sym" localSheetId="2">#REF!</definedName>
    <definedName name="banco_de_dados_sym" localSheetId="8">#REF!</definedName>
    <definedName name="banco_de_dados_sym">#REF!</definedName>
    <definedName name="Copia" localSheetId="9">#REF!</definedName>
    <definedName name="Copia" localSheetId="2">#REF!</definedName>
    <definedName name="Copia" localSheetId="8">#REF!</definedName>
    <definedName name="Copia">#REF!</definedName>
    <definedName name="copia2" localSheetId="9">#REF!</definedName>
    <definedName name="copia2" localSheetId="2">#REF!</definedName>
    <definedName name="copia2" localSheetId="8">#REF!</definedName>
    <definedName name="copia2">#REF!</definedName>
    <definedName name="_xlnm.Criteria" localSheetId="9">#REF!</definedName>
    <definedName name="_xlnm.Criteria" localSheetId="2">#REF!</definedName>
    <definedName name="_xlnm.Criteria" localSheetId="8">#REF!</definedName>
    <definedName name="_xlnm.Criteria">#REF!</definedName>
    <definedName name="dados" localSheetId="9">#REF!</definedName>
    <definedName name="dados" localSheetId="2">#REF!</definedName>
    <definedName name="dados" localSheetId="8">#REF!</definedName>
    <definedName name="dados">#REF!</definedName>
    <definedName name="Database" localSheetId="9">#REF!</definedName>
    <definedName name="Database" localSheetId="8">#REF!</definedName>
    <definedName name="Database">#REF!</definedName>
    <definedName name="DEZEMBRO" localSheetId="9">#REF!</definedName>
    <definedName name="DEZEMBRO" localSheetId="8">#REF!</definedName>
    <definedName name="DEZEMBRO">#REF!</definedName>
    <definedName name="huala" localSheetId="9">#REF!</definedName>
    <definedName name="huala" localSheetId="2">#REF!</definedName>
    <definedName name="huala" localSheetId="8">#REF!</definedName>
    <definedName name="huala">#REF!</definedName>
    <definedName name="jfhajdfh">#REF!</definedName>
    <definedName name="kk" localSheetId="9">#REF!</definedName>
    <definedName name="kk" localSheetId="2">#REF!</definedName>
    <definedName name="kk" localSheetId="8">#REF!</definedName>
    <definedName name="kk">#REF!</definedName>
    <definedName name="Percentual5" localSheetId="9">'[1]Estudos - Receita'!$XFB$1:$XFB$20</definedName>
    <definedName name="Percentual5">'[2]Estudos - Receita'!$XFB$1:$XFB$20</definedName>
    <definedName name="PJ2anos" localSheetId="9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_xlnm.Print_Titles" localSheetId="3">'Quadro Geral'!$6:$7</definedName>
    <definedName name="X" localSheetId="9">#REF!</definedName>
    <definedName name="X" localSheetId="8">#REF!</definedName>
    <definedName name="X">#REF!</definedName>
    <definedName name="XFE1048575" localSheetId="9">#REF!</definedName>
    <definedName name="XFE1048575" localSheetId="2">#REF!</definedName>
    <definedName name="XFE1048575" localSheetId="8">#REF!</definedName>
    <definedName name="XFE1048575">#REF!</definedName>
    <definedName name="XFe1048576" localSheetId="9">#REF!</definedName>
    <definedName name="XFe1048576" localSheetId="2">#REF!</definedName>
    <definedName name="XFe1048576" localSheetId="8">#REF!</definedName>
    <definedName name="XFe1048576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3" l="1"/>
  <c r="H6" i="23"/>
  <c r="G7" i="23"/>
  <c r="G8" i="23"/>
  <c r="H8" i="23"/>
  <c r="G9" i="23"/>
  <c r="H9" i="23"/>
  <c r="G10" i="23"/>
  <c r="H10" i="23"/>
  <c r="G13" i="23"/>
  <c r="H13" i="23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C46" i="8"/>
  <c r="C41" i="8"/>
  <c r="E19" i="23"/>
  <c r="F43" i="18"/>
  <c r="O43" i="18"/>
  <c r="Q43" i="18"/>
  <c r="I44" i="15"/>
  <c r="D31" i="8"/>
  <c r="D32" i="8"/>
  <c r="D33" i="8"/>
  <c r="D30" i="8"/>
  <c r="F77" i="39"/>
  <c r="F44" i="39"/>
  <c r="D16" i="41"/>
  <c r="F16" i="41"/>
  <c r="O23" i="18"/>
  <c r="Q23" i="18"/>
  <c r="I24" i="15"/>
  <c r="H16" i="41"/>
  <c r="J16" i="41"/>
  <c r="P15" i="23"/>
  <c r="F24" i="18"/>
  <c r="F25" i="18"/>
  <c r="F26" i="18"/>
  <c r="F27" i="18"/>
  <c r="F29" i="18"/>
  <c r="F30" i="18"/>
  <c r="F33" i="18"/>
  <c r="F35" i="18"/>
  <c r="F38" i="18"/>
  <c r="F39" i="18"/>
  <c r="F40" i="18"/>
  <c r="F41" i="18"/>
  <c r="F42" i="18"/>
  <c r="F44" i="18"/>
  <c r="F49" i="18"/>
  <c r="P6" i="23"/>
  <c r="P16" i="23"/>
  <c r="P7" i="23"/>
  <c r="P13" i="23"/>
  <c r="D11" i="8"/>
  <c r="D14" i="8"/>
  <c r="D10" i="8"/>
  <c r="D9" i="8"/>
  <c r="D8" i="8"/>
  <c r="P8" i="23"/>
  <c r="P14" i="23"/>
  <c r="O37" i="18"/>
  <c r="Q37" i="18"/>
  <c r="I38" i="15"/>
  <c r="O36" i="18"/>
  <c r="Q36" i="18"/>
  <c r="I37" i="15"/>
  <c r="O20" i="18"/>
  <c r="Q20" i="18"/>
  <c r="I21" i="15"/>
  <c r="D11" i="41"/>
  <c r="F11" i="41"/>
  <c r="O25" i="18"/>
  <c r="Q25" i="18"/>
  <c r="I26" i="15"/>
  <c r="H11" i="41"/>
  <c r="J11" i="41"/>
  <c r="D7" i="41"/>
  <c r="O17" i="18"/>
  <c r="Q17" i="18"/>
  <c r="O18" i="18"/>
  <c r="Q18" i="18"/>
  <c r="I19" i="15"/>
  <c r="O19" i="18"/>
  <c r="Q19" i="18"/>
  <c r="I20" i="15"/>
  <c r="O46" i="18"/>
  <c r="Q46" i="18"/>
  <c r="I47" i="15"/>
  <c r="F7" i="41"/>
  <c r="O26" i="18"/>
  <c r="Q26" i="18"/>
  <c r="I27" i="15"/>
  <c r="H7" i="41"/>
  <c r="J7" i="41"/>
  <c r="D15" i="41"/>
  <c r="F15" i="41"/>
  <c r="I11" i="18"/>
  <c r="O11" i="18"/>
  <c r="Q11" i="18"/>
  <c r="I12" i="15"/>
  <c r="O16" i="18"/>
  <c r="Q16" i="18"/>
  <c r="I17" i="15"/>
  <c r="O29" i="18"/>
  <c r="Q29" i="18"/>
  <c r="I30" i="15"/>
  <c r="O35" i="18"/>
  <c r="Q35" i="18"/>
  <c r="I36" i="15"/>
  <c r="O7" i="18"/>
  <c r="Q7" i="18"/>
  <c r="I8" i="15"/>
  <c r="O8" i="18"/>
  <c r="Q8" i="18"/>
  <c r="I9" i="15"/>
  <c r="O9" i="18"/>
  <c r="Q9" i="18"/>
  <c r="I10" i="15"/>
  <c r="I10" i="18"/>
  <c r="O10" i="18"/>
  <c r="Q10" i="18"/>
  <c r="I11" i="15"/>
  <c r="I12" i="18"/>
  <c r="O12" i="18"/>
  <c r="Q12" i="18"/>
  <c r="I13" i="15"/>
  <c r="I13" i="18"/>
  <c r="O13" i="18"/>
  <c r="Q13" i="18"/>
  <c r="I14" i="15"/>
  <c r="I14" i="18"/>
  <c r="O14" i="18"/>
  <c r="Q14" i="18"/>
  <c r="I15" i="15"/>
  <c r="O15" i="18"/>
  <c r="Q15" i="18"/>
  <c r="I16" i="15"/>
  <c r="O21" i="18"/>
  <c r="Q21" i="18"/>
  <c r="I22" i="15"/>
  <c r="O22" i="18"/>
  <c r="Q22" i="18"/>
  <c r="I23" i="15"/>
  <c r="G24" i="18"/>
  <c r="O24" i="18"/>
  <c r="Q24" i="18"/>
  <c r="I25" i="15"/>
  <c r="O27" i="18"/>
  <c r="Q27" i="18"/>
  <c r="I28" i="15"/>
  <c r="O28" i="18"/>
  <c r="Q28" i="18"/>
  <c r="I29" i="15"/>
  <c r="O30" i="18"/>
  <c r="Q30" i="18"/>
  <c r="I31" i="15"/>
  <c r="K31" i="18"/>
  <c r="O31" i="18"/>
  <c r="Q31" i="18"/>
  <c r="I32" i="15"/>
  <c r="O32" i="18"/>
  <c r="Q32" i="18"/>
  <c r="I33" i="15"/>
  <c r="O33" i="18"/>
  <c r="Q33" i="18"/>
  <c r="I34" i="15"/>
  <c r="O34" i="18"/>
  <c r="Q34" i="18"/>
  <c r="I35" i="15"/>
  <c r="K38" i="18"/>
  <c r="O38" i="18"/>
  <c r="Q38" i="18"/>
  <c r="I39" i="15"/>
  <c r="O39" i="18"/>
  <c r="Q39" i="18"/>
  <c r="I40" i="15"/>
  <c r="O40" i="18"/>
  <c r="Q40" i="18"/>
  <c r="I41" i="15"/>
  <c r="O41" i="18"/>
  <c r="Q41" i="18"/>
  <c r="I42" i="15"/>
  <c r="O42" i="18"/>
  <c r="Q42" i="18"/>
  <c r="I43" i="15"/>
  <c r="O44" i="18"/>
  <c r="Q44" i="18"/>
  <c r="I45" i="15"/>
  <c r="O45" i="18"/>
  <c r="Q45" i="18"/>
  <c r="I46" i="15"/>
  <c r="O47" i="18"/>
  <c r="Q47" i="18"/>
  <c r="I48" i="15"/>
  <c r="O48" i="18"/>
  <c r="Q48" i="18"/>
  <c r="I49" i="15"/>
  <c r="I50" i="15"/>
  <c r="H15" i="41"/>
  <c r="J15" i="41"/>
  <c r="D6" i="41"/>
  <c r="F6" i="41"/>
  <c r="H6" i="41"/>
  <c r="J6" i="41"/>
  <c r="D5" i="41"/>
  <c r="F5" i="41"/>
  <c r="H5" i="41"/>
  <c r="J5" i="41"/>
  <c r="D21" i="23"/>
  <c r="D15" i="23"/>
  <c r="O16" i="23"/>
  <c r="O15" i="23"/>
  <c r="O14" i="23"/>
  <c r="O13" i="23"/>
  <c r="O8" i="23"/>
  <c r="O7" i="23"/>
  <c r="O6" i="23"/>
  <c r="P49" i="18"/>
  <c r="B51" i="8"/>
  <c r="I28" i="8"/>
  <c r="J28" i="8"/>
  <c r="AL8" i="42"/>
  <c r="C50" i="8"/>
  <c r="B50" i="8"/>
  <c r="B55" i="8"/>
  <c r="B54" i="8"/>
  <c r="B52" i="8"/>
  <c r="D27" i="8"/>
  <c r="D34" i="8"/>
  <c r="I29" i="8"/>
  <c r="I31" i="8"/>
  <c r="I32" i="8"/>
  <c r="I33" i="8"/>
  <c r="I30" i="8"/>
  <c r="I27" i="8"/>
  <c r="I34" i="8"/>
  <c r="J34" i="8"/>
  <c r="U44" i="18"/>
  <c r="U43" i="18"/>
  <c r="U42" i="18"/>
  <c r="U41" i="18"/>
  <c r="U40" i="18"/>
  <c r="U39" i="18"/>
  <c r="U38" i="18"/>
  <c r="U35" i="18"/>
  <c r="U33" i="18"/>
  <c r="U30" i="18"/>
  <c r="U29" i="18"/>
  <c r="U27" i="18"/>
  <c r="U26" i="18"/>
  <c r="U25" i="18"/>
  <c r="U24" i="18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7" i="18"/>
  <c r="O49" i="18"/>
  <c r="B46" i="8"/>
  <c r="D46" i="8"/>
  <c r="B45" i="8"/>
  <c r="D22" i="8"/>
  <c r="C45" i="8"/>
  <c r="D45" i="8"/>
  <c r="D47" i="8"/>
  <c r="F41" i="8"/>
  <c r="F40" i="8"/>
  <c r="J29" i="8"/>
  <c r="J30" i="8"/>
  <c r="J31" i="8"/>
  <c r="J32" i="8"/>
  <c r="J33" i="8"/>
  <c r="J27" i="8"/>
  <c r="AI15" i="42"/>
  <c r="I20" i="8"/>
  <c r="I23" i="8"/>
  <c r="AI12" i="42"/>
  <c r="I17" i="8"/>
  <c r="AI13" i="42"/>
  <c r="I18" i="8"/>
  <c r="AI7" i="42"/>
  <c r="AI8" i="42"/>
  <c r="AI6" i="42"/>
  <c r="AI10" i="42"/>
  <c r="AI11" i="42"/>
  <c r="AI9" i="42"/>
  <c r="AI5" i="42"/>
  <c r="I10" i="8"/>
  <c r="I11" i="8"/>
  <c r="I12" i="8"/>
  <c r="I13" i="8"/>
  <c r="I14" i="8"/>
  <c r="I15" i="8"/>
  <c r="I16" i="8"/>
  <c r="AI4" i="42"/>
  <c r="I9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7" i="8"/>
  <c r="H28" i="8"/>
  <c r="H29" i="8"/>
  <c r="H30" i="8"/>
  <c r="H31" i="8"/>
  <c r="H32" i="8"/>
  <c r="H33" i="8"/>
  <c r="H34" i="8"/>
  <c r="H8" i="8"/>
  <c r="AL5" i="42"/>
  <c r="U37" i="15"/>
  <c r="AL4" i="42"/>
  <c r="U35" i="15"/>
  <c r="AL3" i="42"/>
  <c r="U33" i="15"/>
  <c r="T32" i="15"/>
  <c r="H32" i="15"/>
  <c r="T27" i="15"/>
  <c r="H27" i="15"/>
  <c r="T24" i="15"/>
  <c r="H24" i="15"/>
  <c r="T22" i="15"/>
  <c r="H22" i="15"/>
  <c r="S22" i="15"/>
  <c r="H50" i="15"/>
  <c r="S50" i="15"/>
  <c r="L9" i="15"/>
  <c r="M9" i="15"/>
  <c r="N9" i="15"/>
  <c r="O9" i="15"/>
  <c r="P9" i="15"/>
  <c r="Q9" i="15"/>
  <c r="R9" i="15"/>
  <c r="S9" i="15"/>
  <c r="L10" i="15"/>
  <c r="M10" i="15"/>
  <c r="N10" i="15"/>
  <c r="O10" i="15"/>
  <c r="P10" i="15"/>
  <c r="Q10" i="15"/>
  <c r="R10" i="15"/>
  <c r="S10" i="15"/>
  <c r="L11" i="15"/>
  <c r="M11" i="15"/>
  <c r="N11" i="15"/>
  <c r="O11" i="15"/>
  <c r="P11" i="15"/>
  <c r="Q11" i="15"/>
  <c r="R11" i="15"/>
  <c r="S11" i="15"/>
  <c r="L12" i="15"/>
  <c r="M12" i="15"/>
  <c r="N12" i="15"/>
  <c r="O12" i="15"/>
  <c r="P12" i="15"/>
  <c r="Q12" i="15"/>
  <c r="R12" i="15"/>
  <c r="S12" i="15"/>
  <c r="L13" i="15"/>
  <c r="M13" i="15"/>
  <c r="N13" i="15"/>
  <c r="O13" i="15"/>
  <c r="P13" i="15"/>
  <c r="Q13" i="15"/>
  <c r="R13" i="15"/>
  <c r="S13" i="15"/>
  <c r="L14" i="15"/>
  <c r="M14" i="15"/>
  <c r="N14" i="15"/>
  <c r="O14" i="15"/>
  <c r="P14" i="15"/>
  <c r="Q14" i="15"/>
  <c r="R14" i="15"/>
  <c r="S14" i="15"/>
  <c r="L15" i="15"/>
  <c r="M15" i="15"/>
  <c r="N15" i="15"/>
  <c r="O15" i="15"/>
  <c r="P15" i="15"/>
  <c r="Q15" i="15"/>
  <c r="R15" i="15"/>
  <c r="S15" i="15"/>
  <c r="L16" i="15"/>
  <c r="M16" i="15"/>
  <c r="N16" i="15"/>
  <c r="O16" i="15"/>
  <c r="P16" i="15"/>
  <c r="Q16" i="15"/>
  <c r="R16" i="15"/>
  <c r="S16" i="15"/>
  <c r="L17" i="15"/>
  <c r="M17" i="15"/>
  <c r="N17" i="15"/>
  <c r="O17" i="15"/>
  <c r="P17" i="15"/>
  <c r="Q17" i="15"/>
  <c r="R17" i="15"/>
  <c r="S17" i="15"/>
  <c r="L18" i="15"/>
  <c r="M18" i="15"/>
  <c r="N18" i="15"/>
  <c r="O18" i="15"/>
  <c r="P18" i="15"/>
  <c r="Q18" i="15"/>
  <c r="R18" i="15"/>
  <c r="S18" i="15"/>
  <c r="L19" i="15"/>
  <c r="M19" i="15"/>
  <c r="N19" i="15"/>
  <c r="O19" i="15"/>
  <c r="P19" i="15"/>
  <c r="Q19" i="15"/>
  <c r="R19" i="15"/>
  <c r="S19" i="15"/>
  <c r="L20" i="15"/>
  <c r="M20" i="15"/>
  <c r="N20" i="15"/>
  <c r="O20" i="15"/>
  <c r="P20" i="15"/>
  <c r="Q20" i="15"/>
  <c r="R20" i="15"/>
  <c r="S20" i="15"/>
  <c r="L21" i="15"/>
  <c r="M21" i="15"/>
  <c r="N21" i="15"/>
  <c r="O21" i="15"/>
  <c r="P21" i="15"/>
  <c r="Q21" i="15"/>
  <c r="R21" i="15"/>
  <c r="S21" i="15"/>
  <c r="L22" i="15"/>
  <c r="M22" i="15"/>
  <c r="N22" i="15"/>
  <c r="O22" i="15"/>
  <c r="P22" i="15"/>
  <c r="Q22" i="15"/>
  <c r="R22" i="15"/>
  <c r="L23" i="15"/>
  <c r="M23" i="15"/>
  <c r="N23" i="15"/>
  <c r="O23" i="15"/>
  <c r="P23" i="15"/>
  <c r="Q23" i="15"/>
  <c r="R23" i="15"/>
  <c r="S23" i="15"/>
  <c r="L24" i="15"/>
  <c r="M24" i="15"/>
  <c r="N24" i="15"/>
  <c r="O24" i="15"/>
  <c r="P24" i="15"/>
  <c r="Q24" i="15"/>
  <c r="R24" i="15"/>
  <c r="S24" i="15"/>
  <c r="L25" i="15"/>
  <c r="M25" i="15"/>
  <c r="N25" i="15"/>
  <c r="O25" i="15"/>
  <c r="P25" i="15"/>
  <c r="Q25" i="15"/>
  <c r="R25" i="15"/>
  <c r="S25" i="15"/>
  <c r="L26" i="15"/>
  <c r="M26" i="15"/>
  <c r="N26" i="15"/>
  <c r="O26" i="15"/>
  <c r="P26" i="15"/>
  <c r="Q26" i="15"/>
  <c r="R26" i="15"/>
  <c r="S26" i="15"/>
  <c r="L27" i="15"/>
  <c r="M27" i="15"/>
  <c r="N27" i="15"/>
  <c r="O27" i="15"/>
  <c r="P27" i="15"/>
  <c r="Q27" i="15"/>
  <c r="R27" i="15"/>
  <c r="S27" i="15"/>
  <c r="L28" i="15"/>
  <c r="M28" i="15"/>
  <c r="N28" i="15"/>
  <c r="O28" i="15"/>
  <c r="P28" i="15"/>
  <c r="Q28" i="15"/>
  <c r="R28" i="15"/>
  <c r="S28" i="15"/>
  <c r="L29" i="15"/>
  <c r="M29" i="15"/>
  <c r="N29" i="15"/>
  <c r="O29" i="15"/>
  <c r="P29" i="15"/>
  <c r="Q29" i="15"/>
  <c r="R29" i="15"/>
  <c r="S29" i="15"/>
  <c r="L30" i="15"/>
  <c r="M30" i="15"/>
  <c r="N30" i="15"/>
  <c r="O30" i="15"/>
  <c r="P30" i="15"/>
  <c r="Q30" i="15"/>
  <c r="R30" i="15"/>
  <c r="S30" i="15"/>
  <c r="L31" i="15"/>
  <c r="M31" i="15"/>
  <c r="N31" i="15"/>
  <c r="O31" i="15"/>
  <c r="P31" i="15"/>
  <c r="Q31" i="15"/>
  <c r="R31" i="15"/>
  <c r="S31" i="15"/>
  <c r="L32" i="15"/>
  <c r="M32" i="15"/>
  <c r="N32" i="15"/>
  <c r="O32" i="15"/>
  <c r="P32" i="15"/>
  <c r="Q32" i="15"/>
  <c r="R32" i="15"/>
  <c r="S32" i="15"/>
  <c r="L33" i="15"/>
  <c r="M33" i="15"/>
  <c r="N33" i="15"/>
  <c r="O33" i="15"/>
  <c r="P33" i="15"/>
  <c r="Q33" i="15"/>
  <c r="R33" i="15"/>
  <c r="S33" i="15"/>
  <c r="L34" i="15"/>
  <c r="M34" i="15"/>
  <c r="N34" i="15"/>
  <c r="O34" i="15"/>
  <c r="P34" i="15"/>
  <c r="Q34" i="15"/>
  <c r="R34" i="15"/>
  <c r="S34" i="15"/>
  <c r="L35" i="15"/>
  <c r="M35" i="15"/>
  <c r="N35" i="15"/>
  <c r="O35" i="15"/>
  <c r="P35" i="15"/>
  <c r="Q35" i="15"/>
  <c r="R35" i="15"/>
  <c r="S35" i="15"/>
  <c r="L36" i="15"/>
  <c r="M36" i="15"/>
  <c r="N36" i="15"/>
  <c r="O36" i="15"/>
  <c r="P36" i="15"/>
  <c r="Q36" i="15"/>
  <c r="R36" i="15"/>
  <c r="S36" i="15"/>
  <c r="L37" i="15"/>
  <c r="M37" i="15"/>
  <c r="N37" i="15"/>
  <c r="O37" i="15"/>
  <c r="P37" i="15"/>
  <c r="Q37" i="15"/>
  <c r="R37" i="15"/>
  <c r="S37" i="15"/>
  <c r="L38" i="15"/>
  <c r="M38" i="15"/>
  <c r="N38" i="15"/>
  <c r="O38" i="15"/>
  <c r="P38" i="15"/>
  <c r="Q38" i="15"/>
  <c r="R38" i="15"/>
  <c r="S38" i="15"/>
  <c r="L39" i="15"/>
  <c r="M39" i="15"/>
  <c r="N39" i="15"/>
  <c r="O39" i="15"/>
  <c r="P39" i="15"/>
  <c r="Q39" i="15"/>
  <c r="R39" i="15"/>
  <c r="S39" i="15"/>
  <c r="L40" i="15"/>
  <c r="M40" i="15"/>
  <c r="N40" i="15"/>
  <c r="O40" i="15"/>
  <c r="P40" i="15"/>
  <c r="Q40" i="15"/>
  <c r="R40" i="15"/>
  <c r="S40" i="15"/>
  <c r="L41" i="15"/>
  <c r="M41" i="15"/>
  <c r="N41" i="15"/>
  <c r="O41" i="15"/>
  <c r="P41" i="15"/>
  <c r="Q41" i="15"/>
  <c r="R41" i="15"/>
  <c r="S41" i="15"/>
  <c r="L42" i="15"/>
  <c r="M42" i="15"/>
  <c r="N42" i="15"/>
  <c r="O42" i="15"/>
  <c r="P42" i="15"/>
  <c r="Q42" i="15"/>
  <c r="R42" i="15"/>
  <c r="S42" i="15"/>
  <c r="L43" i="15"/>
  <c r="M43" i="15"/>
  <c r="N43" i="15"/>
  <c r="O43" i="15"/>
  <c r="P43" i="15"/>
  <c r="Q43" i="15"/>
  <c r="R43" i="15"/>
  <c r="S43" i="15"/>
  <c r="L44" i="15"/>
  <c r="M44" i="15"/>
  <c r="N44" i="15"/>
  <c r="O44" i="15"/>
  <c r="P44" i="15"/>
  <c r="Q44" i="15"/>
  <c r="R44" i="15"/>
  <c r="S44" i="15"/>
  <c r="L45" i="15"/>
  <c r="M45" i="15"/>
  <c r="N45" i="15"/>
  <c r="O45" i="15"/>
  <c r="P45" i="15"/>
  <c r="Q45" i="15"/>
  <c r="R45" i="15"/>
  <c r="S45" i="15"/>
  <c r="L46" i="15"/>
  <c r="M46" i="15"/>
  <c r="N46" i="15"/>
  <c r="O46" i="15"/>
  <c r="P46" i="15"/>
  <c r="Q46" i="15"/>
  <c r="R46" i="15"/>
  <c r="S46" i="15"/>
  <c r="L47" i="15"/>
  <c r="M47" i="15"/>
  <c r="N47" i="15"/>
  <c r="O47" i="15"/>
  <c r="P47" i="15"/>
  <c r="Q47" i="15"/>
  <c r="R47" i="15"/>
  <c r="S47" i="15"/>
  <c r="S8" i="15"/>
  <c r="O8" i="15"/>
  <c r="P8" i="15"/>
  <c r="Q8" i="15"/>
  <c r="R8" i="15"/>
  <c r="N8" i="15"/>
  <c r="M8" i="15"/>
  <c r="L8" i="15"/>
  <c r="M7" i="15"/>
  <c r="N7" i="15"/>
  <c r="O7" i="15"/>
  <c r="P7" i="15"/>
  <c r="Q7" i="15"/>
  <c r="R7" i="15"/>
  <c r="S7" i="15"/>
  <c r="U7" i="15"/>
  <c r="L7" i="15"/>
  <c r="H104" i="39"/>
  <c r="H99" i="39"/>
  <c r="H95" i="39"/>
  <c r="H92" i="39"/>
  <c r="H90" i="39"/>
  <c r="H88" i="39"/>
  <c r="AI23" i="42"/>
  <c r="H85" i="39"/>
  <c r="AI21" i="42"/>
  <c r="H83" i="39"/>
  <c r="H81" i="39"/>
  <c r="M8" i="23"/>
  <c r="M6" i="23"/>
  <c r="H79" i="39"/>
  <c r="AI19" i="42"/>
  <c r="H77" i="39"/>
  <c r="AI24" i="42"/>
  <c r="H74" i="39"/>
  <c r="H72" i="39"/>
  <c r="AI27" i="42"/>
  <c r="H70" i="39"/>
  <c r="H67" i="39"/>
  <c r="H65" i="39"/>
  <c r="H59" i="39"/>
  <c r="H57" i="39"/>
  <c r="H53" i="39"/>
  <c r="H46" i="39"/>
  <c r="H44" i="39"/>
  <c r="H42" i="39"/>
  <c r="H35" i="39"/>
  <c r="H33" i="39"/>
  <c r="H30" i="39"/>
  <c r="H28" i="39"/>
  <c r="H26" i="39"/>
  <c r="H24" i="39"/>
  <c r="H22" i="39"/>
  <c r="H20" i="39"/>
  <c r="H18" i="39"/>
  <c r="H16" i="39"/>
  <c r="H14" i="39"/>
  <c r="H12" i="39"/>
  <c r="H7" i="39"/>
  <c r="G98" i="39"/>
  <c r="G104" i="39"/>
  <c r="G102" i="39"/>
  <c r="G99" i="39"/>
  <c r="G95" i="39"/>
  <c r="G92" i="39"/>
  <c r="G90" i="39"/>
  <c r="G88" i="39"/>
  <c r="G85" i="39"/>
  <c r="G83" i="39"/>
  <c r="G81" i="39"/>
  <c r="G79" i="39"/>
  <c r="G77" i="39"/>
  <c r="G74" i="39"/>
  <c r="G72" i="39"/>
  <c r="G70" i="39"/>
  <c r="G67" i="39"/>
  <c r="G65" i="39"/>
  <c r="G63" i="39"/>
  <c r="G61" i="39"/>
  <c r="G59" i="39"/>
  <c r="G57" i="39"/>
  <c r="G56" i="39"/>
  <c r="G53" i="39"/>
  <c r="G51" i="39"/>
  <c r="G49" i="39"/>
  <c r="G46" i="39"/>
  <c r="G44" i="39"/>
  <c r="G42" i="39"/>
  <c r="G40" i="39"/>
  <c r="G37" i="39"/>
  <c r="G35" i="39"/>
  <c r="G33" i="39"/>
  <c r="G30" i="39"/>
  <c r="G28" i="39"/>
  <c r="G26" i="39"/>
  <c r="G24" i="39"/>
  <c r="G22" i="39"/>
  <c r="G20" i="39"/>
  <c r="G18" i="39"/>
  <c r="G16" i="39"/>
  <c r="G14" i="39"/>
  <c r="G12" i="39"/>
  <c r="G7" i="39"/>
  <c r="AI16" i="42"/>
  <c r="AI3" i="42"/>
  <c r="D4" i="42"/>
  <c r="G4" i="42"/>
  <c r="J4" i="42"/>
  <c r="D5" i="42"/>
  <c r="G5" i="42"/>
  <c r="J5" i="42"/>
  <c r="D6" i="42"/>
  <c r="G6" i="42"/>
  <c r="J6" i="42"/>
  <c r="AL6" i="42"/>
  <c r="D7" i="42"/>
  <c r="G7" i="42"/>
  <c r="J7" i="42"/>
  <c r="AL7" i="42"/>
  <c r="D8" i="42"/>
  <c r="G8" i="42"/>
  <c r="J8" i="42"/>
  <c r="D9" i="42"/>
  <c r="G9" i="42"/>
  <c r="J9" i="42"/>
  <c r="D10" i="42"/>
  <c r="G10" i="42"/>
  <c r="J10" i="42"/>
  <c r="D11" i="42"/>
  <c r="G11" i="42"/>
  <c r="J11" i="42"/>
  <c r="D12" i="42"/>
  <c r="G12" i="42"/>
  <c r="J12" i="42"/>
  <c r="D13" i="42"/>
  <c r="G13" i="42"/>
  <c r="J13" i="42"/>
  <c r="D14" i="42"/>
  <c r="G14" i="42"/>
  <c r="J14" i="42"/>
  <c r="D15" i="42"/>
  <c r="G15" i="42"/>
  <c r="J15" i="42"/>
  <c r="D16" i="42"/>
  <c r="G16" i="42"/>
  <c r="J16" i="42"/>
  <c r="D17" i="42"/>
  <c r="G17" i="42"/>
  <c r="J17" i="42"/>
  <c r="D18" i="42"/>
  <c r="G18" i="42"/>
  <c r="J18" i="42"/>
  <c r="D19" i="42"/>
  <c r="G19" i="42"/>
  <c r="J19" i="42"/>
  <c r="D20" i="42"/>
  <c r="G20" i="42"/>
  <c r="J20" i="42"/>
  <c r="AI20" i="42"/>
  <c r="D21" i="42"/>
  <c r="G21" i="42"/>
  <c r="J21" i="42"/>
  <c r="D22" i="42"/>
  <c r="G22" i="42"/>
  <c r="J22" i="42"/>
  <c r="AI22" i="42"/>
  <c r="D23" i="42"/>
  <c r="G23" i="42"/>
  <c r="J23" i="42"/>
  <c r="D24" i="42"/>
  <c r="G24" i="42"/>
  <c r="J24" i="42"/>
  <c r="D25" i="42"/>
  <c r="G25" i="42"/>
  <c r="J25" i="42"/>
  <c r="D26" i="42"/>
  <c r="G26" i="42"/>
  <c r="J26" i="42"/>
  <c r="D27" i="42"/>
  <c r="G27" i="42"/>
  <c r="J27" i="42"/>
  <c r="D28" i="42"/>
  <c r="G28" i="42"/>
  <c r="J28" i="42"/>
  <c r="D29" i="42"/>
  <c r="G29" i="42"/>
  <c r="J29" i="42"/>
  <c r="D30" i="42"/>
  <c r="G30" i="42"/>
  <c r="J30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47" i="18"/>
  <c r="B47" i="18"/>
  <c r="C47" i="18"/>
  <c r="D47" i="18"/>
  <c r="A48" i="18"/>
  <c r="B48" i="18"/>
  <c r="C48" i="18"/>
  <c r="D48" i="18"/>
  <c r="M15" i="23"/>
  <c r="E25" i="23"/>
  <c r="E23" i="23"/>
  <c r="E21" i="23"/>
  <c r="E17" i="23"/>
  <c r="E15" i="23"/>
  <c r="E13" i="23"/>
  <c r="E9" i="23"/>
  <c r="F40" i="39"/>
  <c r="F95" i="39"/>
  <c r="J49" i="15"/>
  <c r="J48" i="15"/>
  <c r="K48" i="15"/>
  <c r="K49" i="15"/>
  <c r="F81" i="39"/>
  <c r="F79" i="39"/>
  <c r="F85" i="39"/>
  <c r="F83" i="39"/>
  <c r="F53" i="39"/>
  <c r="F104" i="39"/>
  <c r="F74" i="39"/>
  <c r="F72" i="39"/>
  <c r="F70" i="39"/>
  <c r="F35" i="39"/>
  <c r="F33" i="39"/>
  <c r="F30" i="39"/>
  <c r="F28" i="39"/>
  <c r="F26" i="39"/>
  <c r="F24" i="39"/>
  <c r="F20" i="39"/>
  <c r="F18" i="39"/>
  <c r="F16" i="39"/>
  <c r="F14" i="39"/>
  <c r="F12" i="39"/>
  <c r="F65" i="39"/>
  <c r="J47" i="15"/>
  <c r="K47" i="15"/>
  <c r="J46" i="15"/>
  <c r="K46" i="15"/>
  <c r="J45" i="15"/>
  <c r="K45" i="15"/>
  <c r="J44" i="15"/>
  <c r="K44" i="15"/>
  <c r="J43" i="15"/>
  <c r="K43" i="15"/>
  <c r="J42" i="15"/>
  <c r="K42" i="15"/>
  <c r="J41" i="15"/>
  <c r="K41" i="15"/>
  <c r="J40" i="15"/>
  <c r="K40" i="15"/>
  <c r="J39" i="15"/>
  <c r="K39" i="15"/>
  <c r="J38" i="15"/>
  <c r="K38" i="15"/>
  <c r="J37" i="15"/>
  <c r="K37" i="15"/>
  <c r="J36" i="15"/>
  <c r="K36" i="15"/>
  <c r="J35" i="15"/>
  <c r="K35" i="15"/>
  <c r="J34" i="15"/>
  <c r="K34" i="15"/>
  <c r="J33" i="15"/>
  <c r="K33" i="15"/>
  <c r="J32" i="15"/>
  <c r="K32" i="15"/>
  <c r="J31" i="15"/>
  <c r="K31" i="15"/>
  <c r="J30" i="15"/>
  <c r="K30" i="15"/>
  <c r="J29" i="15"/>
  <c r="K29" i="15"/>
  <c r="J28" i="15"/>
  <c r="K28" i="15"/>
  <c r="J27" i="15"/>
  <c r="K27" i="15"/>
  <c r="J26" i="15"/>
  <c r="K26" i="15"/>
  <c r="J25" i="15"/>
  <c r="K25" i="15"/>
  <c r="J24" i="15"/>
  <c r="K24" i="15"/>
  <c r="J23" i="15"/>
  <c r="K23" i="15"/>
  <c r="J22" i="15"/>
  <c r="K22" i="15"/>
  <c r="J21" i="15"/>
  <c r="K21" i="15"/>
  <c r="J20" i="15"/>
  <c r="K20" i="15"/>
  <c r="J19" i="15"/>
  <c r="K19" i="15"/>
  <c r="J18" i="15"/>
  <c r="K18" i="15"/>
  <c r="J17" i="15"/>
  <c r="K17" i="15"/>
  <c r="J16" i="15"/>
  <c r="K16" i="15"/>
  <c r="J15" i="15"/>
  <c r="K15" i="15"/>
  <c r="J14" i="15"/>
  <c r="K14" i="15"/>
  <c r="J13" i="15"/>
  <c r="J12" i="15"/>
  <c r="K12" i="15"/>
  <c r="J11" i="15"/>
  <c r="K11" i="15"/>
  <c r="J10" i="15"/>
  <c r="K10" i="15"/>
  <c r="J9" i="15"/>
  <c r="K9" i="15"/>
  <c r="A2" i="15"/>
  <c r="E42" i="8"/>
  <c r="G41" i="8"/>
  <c r="E33" i="8"/>
  <c r="F33" i="8"/>
  <c r="E32" i="8"/>
  <c r="F32" i="8"/>
  <c r="E31" i="8"/>
  <c r="F31" i="8"/>
  <c r="E29" i="8"/>
  <c r="F29" i="8"/>
  <c r="E28" i="8"/>
  <c r="F28" i="8"/>
  <c r="C27" i="8"/>
  <c r="C34" i="8"/>
  <c r="E24" i="8"/>
  <c r="F24" i="8"/>
  <c r="E23" i="8"/>
  <c r="F23" i="8"/>
  <c r="C22" i="8"/>
  <c r="B41" i="8"/>
  <c r="E21" i="8"/>
  <c r="F21" i="8"/>
  <c r="E20" i="8"/>
  <c r="F20" i="8"/>
  <c r="E19" i="8"/>
  <c r="F19" i="8"/>
  <c r="E18" i="8"/>
  <c r="F18" i="8"/>
  <c r="E17" i="8"/>
  <c r="F17" i="8"/>
  <c r="E16" i="8"/>
  <c r="F16" i="8"/>
  <c r="E15" i="8"/>
  <c r="F15" i="8"/>
  <c r="C14" i="8"/>
  <c r="E13" i="8"/>
  <c r="F13" i="8"/>
  <c r="E12" i="8"/>
  <c r="F12" i="8"/>
  <c r="C11" i="8"/>
  <c r="A2" i="8"/>
  <c r="D25" i="23"/>
  <c r="D23" i="23"/>
  <c r="D19" i="23"/>
  <c r="D17" i="23"/>
  <c r="L15" i="23"/>
  <c r="L16" i="23"/>
  <c r="L13" i="23"/>
  <c r="D13" i="23"/>
  <c r="D9" i="23"/>
  <c r="L8" i="23"/>
  <c r="N7" i="23"/>
  <c r="E7" i="23"/>
  <c r="D7" i="23"/>
  <c r="M13" i="23"/>
  <c r="E6" i="23"/>
  <c r="D6" i="23"/>
  <c r="A2" i="23"/>
  <c r="K13" i="15"/>
  <c r="E11" i="8"/>
  <c r="F11" i="8"/>
  <c r="E14" i="8"/>
  <c r="F14" i="8"/>
  <c r="E8" i="23"/>
  <c r="J8" i="15"/>
  <c r="J50" i="15"/>
  <c r="F21" i="23"/>
  <c r="F25" i="23"/>
  <c r="C10" i="8"/>
  <c r="N15" i="23"/>
  <c r="F13" i="23"/>
  <c r="F19" i="23"/>
  <c r="F17" i="23"/>
  <c r="F42" i="8"/>
  <c r="G42" i="8"/>
  <c r="F6" i="23"/>
  <c r="N8" i="23"/>
  <c r="F15" i="23"/>
  <c r="M16" i="23"/>
  <c r="N16" i="23"/>
  <c r="F23" i="23"/>
  <c r="G40" i="8"/>
  <c r="F7" i="23"/>
  <c r="F9" i="23"/>
  <c r="D41" i="8"/>
  <c r="E30" i="8"/>
  <c r="F30" i="8"/>
  <c r="E22" i="8"/>
  <c r="F22" i="8"/>
  <c r="C47" i="8"/>
  <c r="M14" i="23"/>
  <c r="N13" i="23"/>
  <c r="E10" i="23"/>
  <c r="D8" i="23"/>
  <c r="D10" i="23"/>
  <c r="D14" i="23"/>
  <c r="L14" i="23"/>
  <c r="N6" i="23"/>
  <c r="E14" i="23"/>
  <c r="F14" i="23"/>
  <c r="E16" i="23"/>
  <c r="K8" i="15"/>
  <c r="C9" i="8"/>
  <c r="E10" i="8"/>
  <c r="F10" i="8"/>
  <c r="E22" i="23"/>
  <c r="E18" i="23"/>
  <c r="E24" i="23"/>
  <c r="K50" i="15"/>
  <c r="D25" i="8"/>
  <c r="G8" i="8"/>
  <c r="C40" i="8"/>
  <c r="B47" i="8"/>
  <c r="G27" i="8"/>
  <c r="E27" i="8"/>
  <c r="F27" i="8"/>
  <c r="D20" i="23"/>
  <c r="F8" i="23"/>
  <c r="N14" i="23"/>
  <c r="D18" i="23"/>
  <c r="E20" i="23"/>
  <c r="F10" i="23"/>
  <c r="E26" i="23"/>
  <c r="D22" i="23"/>
  <c r="D24" i="23"/>
  <c r="D26" i="23"/>
  <c r="D16" i="23"/>
  <c r="F22" i="23"/>
  <c r="F24" i="23"/>
  <c r="C8" i="8"/>
  <c r="E9" i="8"/>
  <c r="F9" i="8"/>
  <c r="F18" i="23"/>
  <c r="F16" i="23"/>
  <c r="G33" i="8"/>
  <c r="G31" i="8"/>
  <c r="E34" i="8"/>
  <c r="G29" i="8"/>
  <c r="G34" i="8"/>
  <c r="G32" i="8"/>
  <c r="G30" i="8"/>
  <c r="G28" i="8"/>
  <c r="C42" i="8"/>
  <c r="G23" i="8"/>
  <c r="G21" i="8"/>
  <c r="G18" i="8"/>
  <c r="G16" i="8"/>
  <c r="G13" i="8"/>
  <c r="D35" i="8"/>
  <c r="G25" i="8"/>
  <c r="G12" i="8"/>
  <c r="G20" i="8"/>
  <c r="G24" i="8"/>
  <c r="G19" i="8"/>
  <c r="G17" i="8"/>
  <c r="G15" i="8"/>
  <c r="G11" i="8"/>
  <c r="G10" i="8"/>
  <c r="G9" i="8"/>
  <c r="G14" i="8"/>
  <c r="G22" i="8"/>
  <c r="F26" i="23"/>
  <c r="F20" i="23"/>
  <c r="C25" i="8"/>
  <c r="B40" i="8"/>
  <c r="E8" i="8"/>
  <c r="F8" i="8"/>
  <c r="F34" i="8"/>
  <c r="B42" i="8"/>
  <c r="D42" i="8"/>
  <c r="D40" i="8"/>
  <c r="C35" i="8"/>
  <c r="E25" i="8"/>
  <c r="E104" i="39"/>
  <c r="E102" i="39"/>
  <c r="E99" i="39"/>
  <c r="F90" i="39"/>
  <c r="E90" i="39"/>
  <c r="F88" i="39"/>
  <c r="E88" i="39"/>
  <c r="E81" i="39"/>
  <c r="E79" i="39"/>
  <c r="E74" i="39"/>
  <c r="E72" i="39"/>
  <c r="E70" i="39"/>
  <c r="E67" i="39"/>
  <c r="E65" i="39"/>
  <c r="E59" i="39"/>
  <c r="E57" i="39"/>
  <c r="E44" i="39"/>
  <c r="E40" i="39"/>
  <c r="E35" i="39"/>
  <c r="E33" i="39"/>
  <c r="E30" i="39"/>
  <c r="E28" i="39"/>
  <c r="E26" i="39"/>
  <c r="E24" i="39"/>
  <c r="E20" i="39"/>
  <c r="E18" i="39"/>
  <c r="E16" i="39"/>
  <c r="E14" i="39"/>
  <c r="E12" i="39"/>
  <c r="F22" i="39"/>
  <c r="E22" i="39"/>
  <c r="F7" i="39"/>
  <c r="E7" i="39"/>
  <c r="E35" i="8"/>
  <c r="F25" i="8"/>
  <c r="F35" i="8"/>
  <c r="D46" i="18"/>
  <c r="S46" i="18"/>
  <c r="S47" i="18"/>
  <c r="S48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S42" i="18"/>
  <c r="S34" i="18"/>
  <c r="S26" i="18"/>
  <c r="S18" i="18"/>
  <c r="S10" i="18"/>
  <c r="S19" i="18"/>
  <c r="S35" i="18"/>
  <c r="S43" i="18"/>
  <c r="S27" i="18"/>
  <c r="S39" i="18"/>
  <c r="S31" i="18"/>
  <c r="S23" i="18"/>
  <c r="S15" i="18"/>
  <c r="S11" i="18"/>
  <c r="S38" i="18"/>
  <c r="S30" i="18"/>
  <c r="S22" i="18"/>
  <c r="S14" i="18"/>
  <c r="Q49" i="18"/>
  <c r="S44" i="18"/>
  <c r="S40" i="18"/>
  <c r="S36" i="18"/>
  <c r="S32" i="18"/>
  <c r="S28" i="18"/>
  <c r="S24" i="18"/>
  <c r="S20" i="18"/>
  <c r="S16" i="18"/>
  <c r="S12" i="18"/>
  <c r="S8" i="18"/>
  <c r="S45" i="18"/>
  <c r="S41" i="18"/>
  <c r="S37" i="18"/>
  <c r="S33" i="18"/>
  <c r="S29" i="18"/>
  <c r="S25" i="18"/>
  <c r="S21" i="18"/>
  <c r="S17" i="18"/>
  <c r="S13" i="18"/>
  <c r="S9" i="18"/>
  <c r="B7" i="18"/>
  <c r="B5" i="18"/>
  <c r="A2" i="18"/>
  <c r="R32" i="18"/>
  <c r="D7" i="18"/>
  <c r="D49" i="18"/>
  <c r="S49" i="18"/>
  <c r="R14" i="18"/>
  <c r="R18" i="18"/>
  <c r="R46" i="18"/>
  <c r="R7" i="18"/>
  <c r="Q50" i="18"/>
  <c r="R8" i="18"/>
  <c r="R36" i="18"/>
  <c r="R15" i="18"/>
  <c r="R44" i="18"/>
  <c r="R39" i="18"/>
  <c r="R33" i="18"/>
  <c r="R37" i="18"/>
  <c r="R31" i="18"/>
  <c r="R19" i="18"/>
  <c r="R22" i="18"/>
  <c r="R47" i="18"/>
  <c r="R16" i="18"/>
  <c r="R27" i="18"/>
  <c r="R30" i="18"/>
  <c r="R48" i="18"/>
  <c r="R35" i="18"/>
  <c r="R34" i="18"/>
  <c r="R17" i="18"/>
  <c r="R40" i="18"/>
  <c r="R38" i="18"/>
  <c r="R12" i="18"/>
  <c r="R21" i="18"/>
  <c r="R24" i="18"/>
  <c r="R20" i="18"/>
  <c r="R9" i="18"/>
  <c r="R25" i="18"/>
  <c r="R41" i="18"/>
  <c r="Q51" i="18"/>
  <c r="R11" i="18"/>
  <c r="R43" i="18"/>
  <c r="R10" i="18"/>
  <c r="R26" i="18"/>
  <c r="R42" i="18"/>
  <c r="R23" i="18"/>
  <c r="R28" i="18"/>
  <c r="R13" i="18"/>
  <c r="R29" i="18"/>
  <c r="R45" i="18"/>
  <c r="V8" i="18"/>
  <c r="W8" i="18"/>
  <c r="V9" i="18"/>
  <c r="W9" i="18"/>
  <c r="V10" i="18"/>
  <c r="W10" i="18"/>
  <c r="V11" i="18"/>
  <c r="W11" i="18"/>
  <c r="V12" i="18"/>
  <c r="W12" i="18"/>
  <c r="V13" i="18"/>
  <c r="W13" i="18"/>
  <c r="V14" i="18"/>
  <c r="W14" i="18"/>
  <c r="V15" i="18"/>
  <c r="W15" i="18"/>
  <c r="V16" i="18"/>
  <c r="W16" i="18"/>
  <c r="V17" i="18"/>
  <c r="W17" i="18"/>
  <c r="V18" i="18"/>
  <c r="W18" i="18"/>
  <c r="V19" i="18"/>
  <c r="W19" i="18"/>
  <c r="V20" i="18"/>
  <c r="W20" i="18"/>
  <c r="V21" i="18"/>
  <c r="W21" i="18"/>
  <c r="V22" i="18"/>
  <c r="W22" i="18"/>
  <c r="V23" i="18"/>
  <c r="W23" i="18"/>
  <c r="V24" i="18"/>
  <c r="W24" i="18"/>
  <c r="V25" i="18"/>
  <c r="W25" i="18"/>
  <c r="V26" i="18"/>
  <c r="W26" i="18"/>
  <c r="V27" i="18"/>
  <c r="W27" i="18"/>
  <c r="V28" i="18"/>
  <c r="W28" i="18"/>
  <c r="V29" i="18"/>
  <c r="W29" i="18"/>
  <c r="V30" i="18"/>
  <c r="W30" i="18"/>
  <c r="V31" i="18"/>
  <c r="W31" i="18"/>
  <c r="V32" i="18"/>
  <c r="W32" i="18"/>
  <c r="V33" i="18"/>
  <c r="W33" i="18"/>
  <c r="V34" i="18"/>
  <c r="W34" i="18"/>
  <c r="V35" i="18"/>
  <c r="W35" i="18"/>
  <c r="V36" i="18"/>
  <c r="W36" i="18"/>
  <c r="V37" i="18"/>
  <c r="W37" i="18"/>
  <c r="V38" i="18"/>
  <c r="W38" i="18"/>
  <c r="V39" i="18"/>
  <c r="W39" i="18"/>
  <c r="V40" i="18"/>
  <c r="W40" i="18"/>
  <c r="V41" i="18"/>
  <c r="W41" i="18"/>
  <c r="V42" i="18"/>
  <c r="W42" i="18"/>
  <c r="V43" i="18"/>
  <c r="W43" i="18"/>
  <c r="V44" i="18"/>
  <c r="W44" i="18"/>
  <c r="V45" i="18"/>
  <c r="W45" i="18"/>
  <c r="V46" i="18"/>
  <c r="W46" i="18"/>
  <c r="V47" i="18"/>
  <c r="W47" i="18"/>
  <c r="V48" i="18"/>
  <c r="W48" i="18"/>
  <c r="W7" i="18"/>
  <c r="V7" i="18"/>
  <c r="C4" i="41"/>
  <c r="D4" i="41"/>
  <c r="E4" i="41"/>
  <c r="F4" i="41"/>
  <c r="G4" i="41"/>
  <c r="H4" i="41"/>
  <c r="C5" i="41"/>
  <c r="E5" i="41"/>
  <c r="G5" i="41"/>
  <c r="C6" i="41"/>
  <c r="E6" i="41"/>
  <c r="G6" i="41"/>
  <c r="C7" i="41"/>
  <c r="E7" i="41"/>
  <c r="G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E11" i="41"/>
  <c r="G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E15" i="41"/>
  <c r="G15" i="41"/>
  <c r="C16" i="41"/>
  <c r="E16" i="41"/>
  <c r="G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J9" i="41"/>
  <c r="I7" i="41"/>
  <c r="J17" i="41"/>
  <c r="J13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4" i="41"/>
  <c r="J12" i="41"/>
  <c r="J10" i="41"/>
  <c r="J8" i="41"/>
  <c r="J4" i="41"/>
  <c r="I17" i="41"/>
  <c r="J3" i="41"/>
  <c r="I3" i="41"/>
  <c r="D19" i="41"/>
  <c r="C19" i="41"/>
  <c r="F19" i="41"/>
  <c r="E19" i="41"/>
  <c r="I19" i="41"/>
  <c r="J19" i="41"/>
  <c r="G19" i="41"/>
  <c r="H19" i="41"/>
  <c r="K3" i="4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/>
  <c r="H51" i="18"/>
  <c r="G49" i="18"/>
  <c r="H49" i="18"/>
  <c r="I49" i="18"/>
  <c r="J49" i="18"/>
  <c r="K49" i="18"/>
  <c r="L49" i="18"/>
  <c r="M49" i="18"/>
  <c r="N49" i="18"/>
  <c r="J20" i="41"/>
  <c r="J21" i="41"/>
  <c r="C7" i="18"/>
  <c r="A7" i="18"/>
  <c r="S7" i="18"/>
  <c r="P51" i="18"/>
  <c r="F51" i="18"/>
  <c r="O51" i="18"/>
  <c r="R49" i="18"/>
  <c r="F50" i="18"/>
  <c r="H50" i="18"/>
  <c r="O50" i="18"/>
  <c r="I50" i="18"/>
  <c r="N50" i="18"/>
  <c r="J50" i="18"/>
  <c r="M50" i="18"/>
  <c r="L50" i="18"/>
  <c r="P50" i="18"/>
  <c r="G50" i="18"/>
  <c r="K50" i="18"/>
  <c r="D5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 de Oliveira</author>
  </authors>
  <commentList>
    <comment ref="F7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Marcos Cristino de Oliveira:</t>
        </r>
        <r>
          <rPr>
            <sz val="9"/>
            <color indexed="81"/>
            <rFont val="Segoe UI"/>
            <charset val="1"/>
          </rPr>
          <t xml:space="preserve">
AJUSTAR
Divergente dos valores apresentados na fórmula</t>
        </r>
      </text>
    </comment>
    <comment ref="F44" authorId="0" shapeId="0" xr:uid="{00000000-0006-0000-0200-000002000000}">
      <text>
        <r>
          <rPr>
            <b/>
            <sz val="9"/>
            <color indexed="81"/>
            <rFont val="Segoe UI"/>
            <charset val="1"/>
          </rPr>
          <t>Marcos Cristino de Oliveira:</t>
        </r>
        <r>
          <rPr>
            <sz val="9"/>
            <color indexed="81"/>
            <rFont val="Segoe UI"/>
            <charset val="1"/>
          </rPr>
          <t xml:space="preserve">
AJUSTAR
Divergente dos valores apresentados na fórmula</t>
        </r>
      </text>
    </comment>
    <comment ref="F59" authorId="0" shapeId="0" xr:uid="{00000000-0006-0000-0200-000003000000}">
      <text>
        <r>
          <rPr>
            <b/>
            <sz val="9"/>
            <color indexed="81"/>
            <rFont val="Segoe UI"/>
            <charset val="1"/>
          </rPr>
          <t>Marcos Cristino de Oliveira:</t>
        </r>
        <r>
          <rPr>
            <sz val="9"/>
            <color indexed="81"/>
            <rFont val="Segoe UI"/>
            <charset val="1"/>
          </rPr>
          <t xml:space="preserve">
AJUSTAR
Divergente dos valores apresentados na fórmula</t>
        </r>
      </text>
    </comment>
    <comment ref="F77" authorId="0" shapeId="0" xr:uid="{00000000-0006-0000-0200-000004000000}">
      <text>
        <r>
          <rPr>
            <b/>
            <sz val="9"/>
            <color indexed="81"/>
            <rFont val="Segoe UI"/>
            <charset val="1"/>
          </rPr>
          <t>Marcos Cristino de Oliveira:</t>
        </r>
        <r>
          <rPr>
            <sz val="9"/>
            <color indexed="81"/>
            <rFont val="Segoe UI"/>
            <charset val="1"/>
          </rPr>
          <t xml:space="preserve">
AJUSTAR
Divergente dos valores apresentados no Anexo 2
</t>
        </r>
      </text>
    </comment>
    <comment ref="F92" authorId="0" shapeId="0" xr:uid="{00000000-0006-0000-0200-000005000000}">
      <text>
        <r>
          <rPr>
            <b/>
            <sz val="9"/>
            <color indexed="81"/>
            <rFont val="Segoe UI"/>
            <charset val="1"/>
          </rPr>
          <t>Marcos Cristino de Oliveira:</t>
        </r>
        <r>
          <rPr>
            <sz val="9"/>
            <color indexed="81"/>
            <rFont val="Segoe UI"/>
            <charset val="1"/>
          </rPr>
          <t xml:space="preserve">
VERIFICAR
A meta é permanecer com 0%?
Caso positivo, não há ncessidade de fazer o monitoramento desse indicadore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Marcos Cristino de Oliveira</author>
  </authors>
  <commentList>
    <comment ref="A6" authorId="0" shapeId="0" xr:uid="{00000000-0006-0000-0300-000001000000}">
      <text>
        <r>
          <rPr>
            <b/>
            <sz val="14"/>
            <color indexed="81"/>
            <rFont val="Calibri"/>
            <family val="2"/>
            <scheme val="minor"/>
          </rPr>
          <t>Área ou setor responsável pela Atividade ou Projeto</t>
        </r>
      </text>
    </comment>
    <comment ref="B6" authorId="0" shapeId="0" xr:uid="{00000000-0006-0000-0300-000002000000}">
      <text>
        <r>
          <rPr>
            <b/>
            <sz val="14"/>
            <color indexed="81"/>
            <rFont val="Calibri"/>
            <family val="2"/>
            <scheme val="minor"/>
          </rPr>
          <t>P= Projeto                                        
 A= Atividade 
PE= Projeto Específico</t>
        </r>
      </text>
    </comment>
    <comment ref="C6" authorId="0" shapeId="0" xr:uid="{00000000-0006-0000-0300-000003000000}">
      <text>
        <r>
          <rPr>
            <b/>
            <sz val="14"/>
            <color indexed="81"/>
            <rFont val="Calibri"/>
            <family val="2"/>
            <scheme val="minor"/>
          </rPr>
          <t>Nome do Projeto ou Atividade do Plano de Ação.</t>
        </r>
      </text>
    </comment>
    <comment ref="D6" authorId="0" shapeId="0" xr:uid="{00000000-0006-0000-0300-000004000000}">
      <text>
        <r>
          <rPr>
            <b/>
            <sz val="14"/>
            <color indexed="81"/>
            <rFont val="Calibri"/>
            <family val="2"/>
            <scheme val="minor"/>
          </rPr>
          <t>É a motivação geral e a síntese dos efeitos que se deseja produzir.</t>
        </r>
      </text>
    </comment>
    <comment ref="E6" authorId="0" shapeId="0" xr:uid="{00000000-0006-0000-0300-000005000000}">
      <text>
        <r>
          <rPr>
            <b/>
            <sz val="14"/>
            <color indexed="81"/>
            <rFont val="Calibri"/>
            <family val="2"/>
            <scheme val="minor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 shapeId="0" xr:uid="{00000000-0006-0000-0300-000006000000}">
      <text>
        <r>
          <rPr>
            <sz val="14"/>
            <color indexed="81"/>
            <rFont val="Calibri"/>
            <family val="2"/>
            <scheme val="minor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Calibri"/>
            <family val="2"/>
            <scheme val="minor"/>
          </rPr>
          <t>facultativo</t>
        </r>
        <r>
          <rPr>
            <sz val="14"/>
            <color indexed="81"/>
            <rFont val="Calibri"/>
            <family val="2"/>
            <scheme val="minor"/>
          </rPr>
          <t xml:space="preserve"> o enquadramento dos projetos e atividades nos ODS em 2023.</t>
        </r>
      </text>
    </comment>
    <comment ref="G6" authorId="0" shapeId="0" xr:uid="{00000000-0006-0000-0300-000007000000}">
      <text>
        <r>
          <rPr>
            <b/>
            <sz val="14"/>
            <color indexed="81"/>
            <rFont val="Calibri"/>
            <family val="2"/>
            <scheme val="minor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 shapeId="0" xr:uid="{00000000-0006-0000-0300-000008000000}">
      <text>
        <r>
          <rPr>
            <b/>
            <sz val="14"/>
            <color indexed="81"/>
            <rFont val="Calibri"/>
            <family val="2"/>
            <scheme val="minor"/>
          </rPr>
          <t>Os valores devem ser iguais do último Plano de Ação aprovado em 2022.</t>
        </r>
      </text>
    </comment>
    <comment ref="I6" authorId="0" shapeId="0" xr:uid="{00000000-0006-0000-0300-000009000000}">
      <text>
        <r>
          <rPr>
            <b/>
            <sz val="14"/>
            <color indexed="81"/>
            <rFont val="Calibri"/>
            <family val="2"/>
            <scheme val="minor"/>
          </rPr>
          <t xml:space="preserve">Valores  dos Projetos/Projetos Específicos/Atividades do Plano de Ação da Programação 2023
</t>
        </r>
      </text>
    </comment>
    <comment ref="B18" authorId="1" shapeId="0" xr:uid="{00000000-0006-0000-0300-00000A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de acordo com informações dos comentários do Anexo 1
OK</t>
        </r>
      </text>
    </comment>
    <comment ref="B19" authorId="1" shapeId="0" xr:uid="{00000000-0006-0000-0300-00000B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de acordo com informações dos comentários do Anexo 1</t>
        </r>
      </text>
    </comment>
    <comment ref="B20" authorId="1" shapeId="0" xr:uid="{00000000-0006-0000-0300-00000C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de acordo com informações dos comentários do Anexo 1</t>
        </r>
      </text>
    </comment>
    <comment ref="B22" authorId="1" shapeId="0" xr:uid="{00000000-0006-0000-0300-00000D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Não seria Atividade, considerando se tratar de uma atividade cotidiana, ou seria uma representação pontual, em um evento específico?
RESPOSTA: Não seria atividade - a característica é de projeto. Ademais já está registrado na estrutura de centros de custo no implanta como projeto.</t>
        </r>
      </text>
    </comment>
    <comment ref="H22" authorId="1" shapeId="0" xr:uid="{00000000-0006-0000-0300-00000E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conforme aprovado na Reprogramação 2022
OK</t>
        </r>
      </text>
    </comment>
    <comment ref="B23" authorId="1" shapeId="0" xr:uid="{00000000-0006-0000-0300-00000F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Não seria Atividade, considerando se tratar de uma atividade cotidiana, ou seria uma representação pontual, em um evento específico?
RESPOSTA: Não seria atividade - a característica é de projeto. Ademais já está registrado na estrutura de centros de custo no implanta como projeto.</t>
        </r>
      </text>
    </comment>
    <comment ref="H24" authorId="1" shapeId="0" xr:uid="{00000000-0006-0000-0300-000010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conforme aprovado na Reprogramação 2022</t>
        </r>
      </text>
    </comment>
    <comment ref="I25" authorId="1" shapeId="0" xr:uid="{00000000-0006-0000-0300-000011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I26" authorId="1" shapeId="0" xr:uid="{00000000-0006-0000-0300-000012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H27" authorId="1" shapeId="0" xr:uid="{00000000-0006-0000-0300-000013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conforme aprovado na Reprogramação 2022</t>
        </r>
      </text>
    </comment>
    <comment ref="I27" authorId="1" shapeId="0" xr:uid="{00000000-0006-0000-0300-000014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I28" authorId="1" shapeId="0" xr:uid="{00000000-0006-0000-0300-000015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I30" authorId="1" shapeId="0" xr:uid="{00000000-0006-0000-0300-000016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I31" authorId="1" shapeId="0" xr:uid="{00000000-0006-0000-0300-000017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
</t>
        </r>
      </text>
    </comment>
    <comment ref="H32" authorId="1" shapeId="0" xr:uid="{00000000-0006-0000-0300-000018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conforme aprovado na Reprogramação 2022
OK</t>
        </r>
      </text>
    </comment>
    <comment ref="I34" authorId="1" shapeId="0" xr:uid="{00000000-0006-0000-0300-000019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I36" authorId="1" shapeId="0" xr:uid="{00000000-0006-0000-0300-00001A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I39" authorId="1" shapeId="0" xr:uid="{00000000-0006-0000-0300-00001B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I40" authorId="1" shapeId="0" xr:uid="{00000000-0006-0000-0300-00001C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I41" authorId="1" shapeId="0" xr:uid="{00000000-0006-0000-0300-00001D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I42" authorId="1" shapeId="0" xr:uid="{00000000-0006-0000-0300-00001E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I43" authorId="1" shapeId="0" xr:uid="{00000000-0006-0000-0300-00001F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I44" authorId="1" shapeId="0" xr:uid="{00000000-0006-0000-0300-000020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I45" authorId="1" shapeId="0" xr:uid="{00000000-0006-0000-0300-000021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B47" authorId="1" shapeId="0" xr:uid="{00000000-0006-0000-0300-000022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Ajustado de acordo com informações dos comentários do Anexo 1
OK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Marcos Cristino</author>
    <author>Marcos Cristino de Oliveira</author>
    <author>Tania Mara Chaves Daldegan</author>
  </authors>
  <commentList>
    <comment ref="C5" authorId="0" shapeId="0" xr:uid="{00000000-0006-0000-0400-000001000000}">
      <text>
        <r>
          <rPr>
            <b/>
            <sz val="12"/>
            <color indexed="81"/>
            <rFont val="Calibri"/>
            <family val="2"/>
            <scheme val="minor"/>
          </rPr>
          <t>O valor da Reprogramação 2022 deve ser igual ao valor APROVADO vigente no Plano de Ação 2022.</t>
        </r>
      </text>
    </comment>
    <comment ref="D5" authorId="1" shapeId="0" xr:uid="{00000000-0006-0000-0400-000002000000}">
      <text>
        <r>
          <rPr>
            <b/>
            <sz val="12"/>
            <color indexed="81"/>
            <rFont val="Calibri"/>
            <family val="2"/>
            <scheme val="minor"/>
          </rPr>
          <t>Os valores devem ser os aprovados nas Diretrizes da Programação 2023.</t>
        </r>
      </text>
    </comment>
    <comment ref="A11" authorId="0" shapeId="0" xr:uid="{00000000-0006-0000-0400-000003000000}">
      <text>
        <r>
          <rPr>
            <b/>
            <sz val="12"/>
            <color indexed="81"/>
            <rFont val="Calibri"/>
            <family val="2"/>
            <scheme val="minor"/>
          </rPr>
          <t>Somar os valores do exercício 2022
 e exercícios anteriores.</t>
        </r>
      </text>
    </comment>
    <comment ref="A14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Somar os valores do exercício 2022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 shapeId="0" xr:uid="{00000000-0006-0000-0400-000005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AJUSTAR
A planilha foi encaminhada com fórmula para que o preenchimento fosse automático, favor rever os valores de acordo com o proposto no Quadro Geral
OK</t>
        </r>
      </text>
    </comment>
    <comment ref="D29" authorId="2" shapeId="0" xr:uid="{00000000-0006-0000-0400-000006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AJUSTAR
A planilha foi encaminhada com fórmula para que o preenchimento fosse automático, favor rever os valores de acordo com o proposto no Quadro Geral
OK</t>
        </r>
      </text>
    </comment>
    <comment ref="D30" authorId="2" shapeId="0" xr:uid="{00000000-0006-0000-0400-000007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AJUSTAR
A planilha foi encaminhada com fórmula para que o preenchimento fosse automático, favor rever os valores de acordo com o proposto no Quadro Geral
OK
Existe ação, que por sua vez, está contida dentro de atividade que será custeada com a utilização de superávit de exercícios anteriores.
EXemplo: Ação de aquisição de VANS que está dentro da Atividade Manter e Desenvolver Gerência Geral
</t>
        </r>
      </text>
    </comment>
    <comment ref="A32" authorId="0" shapeId="0" xr:uid="{00000000-0006-0000-0400-000008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D35" authorId="2" shapeId="0" xr:uid="{00000000-0006-0000-0400-000009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AJUSTAR
Desequilíbrio Orçamentário
decorrente dos valores referentes ao pagamento de pessoal possuir miléssimos de centavos, 
gerando números arredondados;
 para tanto foi corrigido no Anexo 3 os valores em azul, onde foram arredondados para 2 casas decimais</t>
        </r>
      </text>
    </comment>
    <comment ref="E39" authorId="3" shapeId="0" xr:uid="{00000000-0006-0000-0400-00000A000000}">
      <text>
        <r>
          <rPr>
            <b/>
            <sz val="9"/>
            <color indexed="81"/>
            <rFont val="Segoe UI"/>
            <family val="2"/>
          </rPr>
          <t xml:space="preserve">Anexo 1 da Reprogramação 2022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0" authorId="1" shapeId="0" xr:uid="{00000000-0006-0000-0400-00000B000000}">
      <text>
        <r>
          <rPr>
            <b/>
            <sz val="12"/>
            <color indexed="81"/>
            <rFont val="Calibri"/>
            <family val="2"/>
            <scheme val="minor"/>
          </rPr>
          <t>Superávit a ser utilizado, de acordo com o Art. 9 da Resolução 200</t>
        </r>
      </text>
    </comment>
    <comment ref="B50" authorId="2" shapeId="0" xr:uid="{00000000-0006-0000-0400-00000C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Superávit financeiro apurado em 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Marcos Cristino</author>
    <author>Tania Mara Chaves Daldegan</author>
    <author>Fabiana ...</author>
    <author>Marcos Cristino de Oliveira</author>
  </authors>
  <commentList>
    <comment ref="B6" authorId="0" shapeId="0" xr:uid="{00000000-0006-0000-0500-000001000000}">
      <text>
        <r>
          <rPr>
            <b/>
            <sz val="11"/>
            <color indexed="81"/>
            <rFont val="Tahoma"/>
            <family val="2"/>
          </rPr>
          <t>Vinculada as Receitas de Arrecadação do Anexo 1 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 shapeId="0" xr:uid="{00000000-0006-0000-0500-000003000000}">
      <text>
        <r>
          <rPr>
            <sz val="9"/>
            <color indexed="81"/>
            <rFont val="Segoe UI"/>
            <family val="2"/>
          </rPr>
          <t>APRIMORAR
Apresentar detalhamento no campo de comentários.
Comentário incluído</t>
        </r>
      </text>
    </comment>
    <comment ref="B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Vinculada as Receitas de Arrecadação do Anexo 1.</t>
        </r>
      </text>
    </comment>
    <comment ref="B10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13" authorId="2" shapeId="0" xr:uid="{00000000-0006-0000-0500-000007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3" authorId="3" shapeId="0" xr:uid="{00000000-0006-0000-0500-000008000000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4" authorId="2" shapeId="0" xr:uid="{00000000-0006-0000-0500-000009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5" authorId="4" shapeId="0" xr:uid="{00000000-0006-0000-0500-00000A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F15" authorId="2" shapeId="0" xr:uid="{00000000-0006-0000-0500-00000B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3" shapeId="0" xr:uid="{00000000-0006-0000-0500-00000C000000}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6" authorId="2" shapeId="0" xr:uid="{00000000-0006-0000-0500-00000D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2" shapeId="0" xr:uid="{00000000-0006-0000-0500-00000E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2" shapeId="0" xr:uid="{00000000-0006-0000-0500-00000F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2" shapeId="0" xr:uid="{00000000-0006-0000-0500-000010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2" shapeId="0" xr:uid="{00000000-0006-0000-0500-000011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1" authorId="4" shapeId="0" xr:uid="{00000000-0006-0000-0500-000012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
OK</t>
        </r>
      </text>
    </comment>
    <comment ref="F21" authorId="2" shapeId="0" xr:uid="{00000000-0006-0000-0500-000013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2" shapeId="0" xr:uid="{00000000-0006-0000-0500-000014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2" shapeId="0" xr:uid="{00000000-0006-0000-0500-000015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2" shapeId="0" xr:uid="{00000000-0006-0000-0500-000016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2" shapeId="0" xr:uid="{00000000-0006-0000-0500-000017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2" shapeId="0" xr:uid="{00000000-0006-0000-0500-000018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  <author>Marcos Cristino de Oliveira</author>
  </authors>
  <commentList>
    <comment ref="L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  <comment ref="F24" authorId="1" shapeId="0" xr:uid="{00000000-0006-0000-0600-000002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25" authorId="1" shapeId="0" xr:uid="{00000000-0006-0000-0600-000003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26" authorId="1" shapeId="0" xr:uid="{00000000-0006-0000-0600-000004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27" authorId="1" shapeId="0" xr:uid="{00000000-0006-0000-0600-000005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29" authorId="1" shapeId="0" xr:uid="{00000000-0006-0000-0600-000006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30" authorId="1" shapeId="0" xr:uid="{00000000-0006-0000-0600-000007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33" authorId="1" shapeId="0" xr:uid="{00000000-0006-0000-0600-000008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L33" authorId="1" shapeId="0" xr:uid="{00000000-0006-0000-0600-000009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Esse valor será transferido por meio de patrocínio/convênio/acordo/parceria?</t>
        </r>
      </text>
    </comment>
    <comment ref="F35" authorId="1" shapeId="0" xr:uid="{00000000-0006-0000-0600-00000A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38" authorId="1" shapeId="0" xr:uid="{00000000-0006-0000-0600-00000B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9" authorId="1" shapeId="0" xr:uid="{00000000-0006-0000-0600-00000C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0" authorId="1" shapeId="0" xr:uid="{00000000-0006-0000-0600-00000D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1" authorId="1" shapeId="0" xr:uid="{00000000-0006-0000-0600-00000E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42" authorId="1" shapeId="0" xr:uid="{00000000-0006-0000-0600-00000F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43" authorId="1" shapeId="0" xr:uid="{00000000-0006-0000-0600-000010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  <comment ref="F44" authorId="1" shapeId="0" xr:uid="{00000000-0006-0000-0600-000011000000}">
      <text>
        <r>
          <rPr>
            <b/>
            <sz val="9"/>
            <color indexed="81"/>
            <rFont val="Segoe UI"/>
            <family val="2"/>
          </rPr>
          <t>Marcos Cristino de Oliveira:</t>
        </r>
        <r>
          <rPr>
            <sz val="9"/>
            <color indexed="81"/>
            <rFont val="Segoe UI"/>
            <family val="2"/>
          </rPr>
          <t xml:space="preserve">
VALIDAR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I15" authorId="0" shapeId="0" xr:uid="{00000000-0006-0000-09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<sst xmlns="http://schemas.openxmlformats.org/spreadsheetml/2006/main" count="1022" uniqueCount="590">
  <si>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</si>
  <si>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</si>
  <si>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</si>
  <si>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</si>
  <si>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</si>
  <si>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</si>
  <si>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</si>
  <si>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</si>
  <si>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</si>
  <si>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</si>
  <si>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</si>
  <si>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</si>
  <si>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</si>
  <si>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</si>
  <si>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</si>
  <si>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</si>
  <si>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</si>
  <si>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</si>
  <si>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</si>
  <si>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</si>
  <si>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</si>
  <si>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</si>
  <si>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</si>
  <si>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</si>
  <si>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</si>
  <si>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</si>
  <si>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</si>
  <si>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</si>
  <si>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</si>
  <si>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</si>
  <si>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</si>
  <si>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</si>
  <si>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</si>
  <si>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</si>
  <si>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</si>
  <si>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</si>
  <si>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</si>
  <si>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</si>
  <si>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</si>
  <si>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</si>
  <si>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</si>
  <si>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</si>
  <si>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</si>
  <si>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</si>
  <si>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</si>
  <si>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</si>
  <si>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</si>
  <si>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</si>
  <si>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</si>
  <si>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</si>
  <si>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</si>
  <si>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</si>
  <si>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</si>
  <si>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</si>
  <si>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</si>
  <si>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</si>
  <si>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</si>
  <si>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</si>
  <si>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</si>
  <si>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</si>
  <si>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</si>
  <si>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</si>
  <si>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</si>
  <si>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</si>
  <si>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</si>
  <si>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</si>
  <si>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</si>
  <si>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</si>
  <si>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</si>
  <si>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</si>
  <si>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</si>
  <si>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</si>
  <si>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</si>
  <si>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</si>
  <si>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</si>
  <si>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</si>
  <si>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</si>
  <si>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</si>
  <si>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</si>
  <si>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</si>
  <si>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</si>
  <si>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</si>
  <si>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total de usuários internos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</si>
  <si>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</si>
  <si>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</si>
  <si>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</si>
  <si>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</si>
  <si>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</si>
  <si>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</si>
  <si>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</si>
  <si>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</si>
  <si>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</si>
  <si>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</si>
  <si>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</si>
  <si>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</si>
  <si>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</si>
  <si>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</si>
  <si>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</si>
  <si>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</si>
  <si>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</si>
  <si>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</si>
  <si>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</si>
  <si>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</si>
  <si>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</si>
  <si>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</si>
  <si>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</si>
  <si>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</si>
  <si>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</si>
  <si>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</si>
  <si>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</si>
  <si>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</si>
  <si>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</si>
  <si>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</si>
  <si>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</si>
  <si>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</si>
  <si>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</si>
  <si>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</si>
  <si>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</si>
  <si>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</si>
  <si>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</si>
  <si>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</si>
  <si>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</si>
  <si>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</si>
  <si>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</si>
  <si>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</si>
  <si>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</si>
  <si>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</si>
  <si>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</si>
  <si>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</si>
  <si>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</si>
  <si>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</si>
  <si>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</si>
  <si>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</si>
  <si>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</si>
  <si>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</si>
  <si>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</si>
  <si>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</si>
  <si>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número de usuários internos satisfeitos com a tecnologia</t>
  </si>
  <si>
    <t>Variação
(%)</t>
  </si>
  <si>
    <t>Orientações de Preenchimento dos Elementos de Despesas:</t>
  </si>
  <si>
    <t>% 
(D= C/A *100)</t>
  </si>
  <si>
    <t>1.1.4 Taxas e Multas</t>
  </si>
  <si>
    <t>Valores
 (C=B-A)</t>
  </si>
  <si>
    <t>%       
 (D=C/A)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</si>
  <si>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</si>
  <si>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</si>
  <si>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</si>
  <si>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</si>
  <si>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</si>
  <si>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total de municípios da UF</t>
  </si>
  <si>
    <t xml:space="preserve">Mensal 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</si>
  <si>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</si>
  <si>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</si>
  <si>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</si>
  <si>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 xml:space="preserve">Anual
</t>
  </si>
  <si>
    <t>valor orçamentário destinado (orçado) em patrocínios no ano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</si>
  <si>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</si>
  <si>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</si>
  <si>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</si>
  <si>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</si>
  <si>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</si>
  <si>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</si>
  <si>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</si>
  <si>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 xml:space="preserve">Semestral 
</t>
  </si>
  <si>
    <t xml:space="preserve">Semestral 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</si>
  <si>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</si>
  <si>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</si>
  <si>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</si>
  <si>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</si>
  <si>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</si>
  <si>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</si>
  <si>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</si>
  <si>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t>TOTAL
(R$)</t>
  </si>
  <si>
    <t>Justificativas para os indicadores que não foram propostas metas:</t>
  </si>
  <si>
    <t>07 - Energia limpa e acessível 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</si>
  <si>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</si>
  <si>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</si>
  <si>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</si>
  <si>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</si>
  <si>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</si>
  <si>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</si>
  <si>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</si>
  <si>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</si>
  <si>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</si>
  <si>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</si>
  <si>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</si>
  <si>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</si>
  <si>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</si>
  <si>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</si>
  <si>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</si>
  <si>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</si>
  <si>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</si>
  <si>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</si>
  <si>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</si>
  <si>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</si>
  <si>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</si>
  <si>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</si>
  <si>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</si>
  <si>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</si>
  <si>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</si>
  <si>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</si>
  <si>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</si>
  <si>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</si>
  <si>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</si>
  <si>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</si>
  <si>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</si>
  <si>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</si>
  <si>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</si>
  <si>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</si>
  <si>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</si>
  <si>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</si>
  <si>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</si>
  <si>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</si>
  <si>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</si>
  <si>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</si>
  <si>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</si>
  <si>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</si>
  <si>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Objetivos de Desenvolvimento Sustentável</t>
  </si>
  <si>
    <t xml:space="preserve"> Valor (R$)
(C=B-A)</t>
  </si>
  <si>
    <t>II - Despesas de capital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</si>
  <si>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</si>
  <si>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</si>
  <si>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</si>
  <si>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</si>
  <si>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</si>
  <si>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</si>
  <si>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</si>
  <si>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</si>
  <si>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</si>
  <si>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</si>
  <si>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</si>
  <si>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</si>
  <si>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</si>
  <si>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</si>
  <si>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</si>
  <si>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</si>
  <si>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</si>
  <si>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</si>
  <si>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</si>
  <si>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</si>
  <si>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</si>
  <si>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</si>
  <si>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</si>
  <si>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</si>
  <si>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</si>
  <si>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</si>
  <si>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</si>
  <si>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</si>
  <si>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</si>
  <si>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</si>
  <si>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</si>
  <si>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</si>
  <si>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</si>
  <si>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</si>
  <si>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</si>
  <si>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</si>
  <si>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</si>
  <si>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</si>
  <si>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</si>
  <si>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</si>
  <si>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</si>
  <si>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</si>
  <si>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</si>
  <si>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</si>
  <si>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</si>
  <si>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</si>
  <si>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</si>
  <si>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</si>
  <si>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</si>
  <si>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</si>
  <si>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</si>
  <si>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</si>
  <si>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</si>
  <si>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</si>
  <si>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</si>
  <si>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</si>
  <si>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</si>
  <si>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</si>
  <si>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</si>
  <si>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</si>
  <si>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Atendimento</t>
  </si>
  <si>
    <t>Fiscalização</t>
  </si>
  <si>
    <t>Repasse do Fundo de Apoio</t>
  </si>
  <si>
    <t>Utilização com Plenárias Ampliadas</t>
  </si>
  <si>
    <t>Aporte ao
Fundo de Apoio</t>
  </si>
  <si>
    <t>Exercícios Anteriores</t>
  </si>
  <si>
    <t>Exercício</t>
  </si>
  <si>
    <t>Demais valores a checar</t>
  </si>
  <si>
    <t>Fontes de Receitas Correntes (80%)</t>
  </si>
  <si>
    <t>RRT</t>
  </si>
  <si>
    <t>PJ</t>
  </si>
  <si>
    <t>PF</t>
  </si>
  <si>
    <t>Taxas</t>
  </si>
  <si>
    <t>Informações para os Indicadores</t>
  </si>
  <si>
    <t>Ressarcimento</t>
  </si>
  <si>
    <t>CSC</t>
  </si>
  <si>
    <t>Fundo de Apoio</t>
  </si>
  <si>
    <t>UF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</si>
  <si>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</si>
  <si>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</si>
  <si>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</si>
  <si>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</si>
  <si>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</si>
  <si>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</si>
  <si>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</si>
  <si>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</si>
  <si>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</si>
  <si>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</si>
  <si>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</si>
  <si>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</si>
  <si>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</si>
  <si>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</si>
  <si>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</si>
  <si>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</si>
  <si>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</si>
  <si>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</si>
  <si>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</si>
  <si>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</si>
  <si>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</si>
  <si>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>8) Atentar as orientações em amarelo em cada aba da Planilha.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</si>
  <si>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</si>
  <si>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t xml:space="preserve">Part. %
 (E)           </t>
  </si>
  <si>
    <t>A - FONTES</t>
  </si>
  <si>
    <t>B. APLICAÇÕES</t>
  </si>
  <si>
    <t>P / A / PE</t>
  </si>
  <si>
    <t>Obj. Estratégico</t>
  </si>
  <si>
    <t>-</t>
  </si>
  <si>
    <t xml:space="preserve">CAU/UF:  </t>
  </si>
  <si>
    <t>Orientações para preenchimento do Modelo do Plano de Ação - Programação 2023</t>
  </si>
  <si>
    <t>1) Usar o arquivo da Programação 2023 enviado pela GERPLAN. O anexo 4 é de preenchimento facultativo.</t>
  </si>
  <si>
    <t>9) Não reexibir e alterar as abas ocultas, são para uso posterior da GERPLAN e auxiliarão na elaboração dos Pareceres da Programação 2023.</t>
  </si>
  <si>
    <t>Meta
Reprogramação
2022</t>
  </si>
  <si>
    <t>Meta
Projeção
2023</t>
  </si>
  <si>
    <t>Reprogramação
2022 
R$ (A)</t>
  </si>
  <si>
    <t>Programação
 2023
 R$ (B)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</si>
  <si>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02/2022 - CG-FA.</t>
    </r>
  </si>
  <si>
    <t>PLANO DE AÇÃO - PROGRAMAÇÃO  2023</t>
  </si>
  <si>
    <t>Anexo 1 - Demonstrativo de Fontes e Aplicações - Programação 2023</t>
  </si>
  <si>
    <t>1.1.1.1.1 Anuidade do Exercício 2023</t>
  </si>
  <si>
    <t>1.1.1.2.1 Anuidade do Exercício 2023</t>
  </si>
  <si>
    <t>RESUMO DA PROGRAMAÇÃO 2023 - POR CATEGORIA ECONÔMICA</t>
  </si>
  <si>
    <t>Programação 
2023 
(B)</t>
  </si>
  <si>
    <t xml:space="preserve">Variação (2023/2022) </t>
  </si>
  <si>
    <t>Reprogramação 
2022 
(A)</t>
  </si>
  <si>
    <t>Anexo 2 - Limites de Aplicação dos Recursos Estratégicos - Programação 2023</t>
  </si>
  <si>
    <t>Programação
 2023</t>
  </si>
  <si>
    <t>JUSTIFICATIVA - quando da flexibilização da aplicação de recursos mínimos e máximos do limite estratégico de Capacitação do Plano de Ação e Orçamento de 2023.</t>
  </si>
  <si>
    <t>Reprogramação
 2022</t>
  </si>
  <si>
    <t>Programação 2023</t>
  </si>
  <si>
    <t>Programação 
2023</t>
  </si>
  <si>
    <t>5) O valor da Reprogramação 2022 deve ser igual ao valor da última Reprogramação APROVADA 2022, ou seja, sem transposição.</t>
  </si>
  <si>
    <t>6) Para fins de manter a padronização deste documento:
- Não alterar cores, fórmulas e formatações no modelo;
- No preenchimento das células utilizar letras maiúsculas apenas em siglas e no começo da frase.</t>
  </si>
  <si>
    <t>LEGENDA: P = PROJETO/ A = ATIVIDADE/ PE = PROJETO ESPECÍFICO</t>
  </si>
  <si>
    <t>Orientação:  Na proposta da Programação 2023, para as receitas  de Arrecadação - anuidades de PF e PJ  (do exercício 2023 e dos exercícios anteriores), RRT, taxas e multas, devem ser considerados os valores constantes das Diretrizes da Programação 2023. 
Caso o CAU/UF apresente projeções de receitas divergentes das aprovadas nas Diretrizes da Programação 2023, é necessário justificar a alteração e nos informar qual a nova posição do CAU/UF em relação às quantidades e inadimplências aplicadas às projeções de 2023 (PF; PJ; RRT; Taxas e Multas). Para tanto, deve-se utilizar a Minuta das Diretrizes da Programação 2023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</si>
  <si>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>Programação
 2023
  (B)</t>
  </si>
  <si>
    <t>Reprogramação
 2022
 (A)</t>
  </si>
  <si>
    <t>2) Os objetivos estratégicos em âmbito nacional, deverão mantidos em 2023*: Fiscalização, AU como Política de Estado e Acesso da Sociedade à AU, e devem ser obrigatoriamente trabalhados.</t>
  </si>
  <si>
    <t>3) A Receita de Arrecadação Líquida (RAL) será calculada com base na Arrecadação Total, ou seja, com valor do Exercício de 2023 e Exercícios Anteriores. (Anexo 2)</t>
  </si>
  <si>
    <t>4) Vedada a inobservância de aplicação dos percentuais mínimo e máximo, com exceção da Capacitação* . Os órgãos deliberativos dos CAU/UF poderão, mediante as justificativas próprias, flexibilizar a aplicação de recursos mínimos e máximos em Capacitação na Programação do Plano de Ação e Orçamento de 2023. (Anexo 2)</t>
  </si>
  <si>
    <r>
      <t xml:space="preserve">Orientação: Selecionar os objetivos estratégicos prioritários em âmbito local trabalhados em 2023. Os objetivos estratégicos em âmbito nacional, continuam: </t>
    </r>
    <r>
      <rPr>
        <b/>
        <sz val="12"/>
        <rFont val="Calibri"/>
        <family val="2"/>
        <scheme val="minor"/>
      </rPr>
      <t xml:space="preserve">Fiscalização,  AU como Política de Estado e Acesso da Sociedade à AU e </t>
    </r>
    <r>
      <rPr>
        <sz val="12"/>
        <rFont val="Calibri"/>
        <family val="2"/>
        <scheme val="minor"/>
      </rPr>
      <t xml:space="preserve">devem ser obrigatoriamente trabalhados. </t>
    </r>
  </si>
  <si>
    <t>Obs.: Os Indicadores devem ser vinculados aos objetivos estratégicos priorizados no Mapa Estratégico do CAU/UF, ou seja, os indicadores dos objetivos estratégicos escolhidos no Mapa Estratégico devem ser mensurados. Utilizar os dados das Diretrizes da Programação 2023.</t>
  </si>
  <si>
    <t>II a - Percentual de utilização para capital</t>
  </si>
  <si>
    <t>III - Projetos específicos (PE)</t>
  </si>
  <si>
    <t>III a - Percentual de utilização para PE</t>
  </si>
  <si>
    <r>
      <t xml:space="preserve">Fiscalização
</t>
    </r>
    <r>
      <rPr>
        <b/>
        <sz val="12"/>
        <color rgb="FFFF0000"/>
        <rFont val="Calibri"/>
        <family val="2"/>
        <scheme val="minor"/>
      </rPr>
      <t xml:space="preserve">(mínimo de 15 % do total da RAL)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</t>
    </r>
  </si>
  <si>
    <r>
      <t xml:space="preserve">Atendimento
</t>
    </r>
    <r>
      <rPr>
        <b/>
        <sz val="12"/>
        <color rgb="FFFF0000"/>
        <rFont val="Calibri"/>
        <family val="2"/>
        <scheme val="minor"/>
      </rPr>
      <t>(mínimo de 10 % do total da RAL)</t>
    </r>
  </si>
  <si>
    <r>
      <t xml:space="preserve">Comunicação
</t>
    </r>
    <r>
      <rPr>
        <b/>
        <sz val="12"/>
        <color rgb="FFFF0000"/>
        <rFont val="Calibri"/>
        <family val="2"/>
        <scheme val="minor"/>
      </rPr>
      <t xml:space="preserve">(mínimo de 3% do total da RAL)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</si>
  <si>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FF0000"/>
        <rFont val="Calibri"/>
        <family val="2"/>
        <scheme val="minor"/>
      </rPr>
      <t xml:space="preserve">(máximo de 5% do total da RAL)      </t>
    </r>
    <r>
      <rPr>
        <b/>
        <sz val="12"/>
        <color indexed="10"/>
        <rFont val="Calibri"/>
        <family val="2"/>
        <scheme val="minor"/>
      </rPr>
      <t xml:space="preserve">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</si>
  <si>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FF0000"/>
        <rFont val="Calibri"/>
        <family val="2"/>
        <scheme val="minor"/>
      </rPr>
      <t xml:space="preserve">(mínimo de 6 % do total da RAL)         </t>
    </r>
    <r>
      <rPr>
        <b/>
        <sz val="12"/>
        <color indexed="21"/>
        <rFont val="Calibri"/>
        <family val="2"/>
        <scheme val="minor"/>
      </rPr>
      <t xml:space="preserve">                </t>
    </r>
  </si>
  <si>
    <r>
      <t xml:space="preserve">Assistência Técnica
</t>
    </r>
    <r>
      <rPr>
        <b/>
        <sz val="12"/>
        <color rgb="FFFF0000"/>
        <rFont val="Calibri"/>
        <family val="2"/>
        <scheme val="minor"/>
      </rPr>
      <t xml:space="preserve">(mínimo de 2% do total da RAL)    </t>
    </r>
  </si>
  <si>
    <r>
      <t xml:space="preserve">Reserva de Contingência
</t>
    </r>
    <r>
      <rPr>
        <b/>
        <sz val="12"/>
        <color rgb="FFFF0000"/>
        <rFont val="Calibri"/>
        <family val="2"/>
        <scheme val="minor"/>
      </rPr>
      <t xml:space="preserve">(até 2 % do total da RAL)        </t>
    </r>
    <r>
      <rPr>
        <b/>
        <sz val="12"/>
        <color indexed="21"/>
        <rFont val="Calibri"/>
        <family val="2"/>
        <scheme val="minor"/>
      </rPr>
      <t xml:space="preserve">      </t>
    </r>
  </si>
  <si>
    <r>
      <t xml:space="preserve"> Despesas com Pessoal
</t>
    </r>
    <r>
      <rPr>
        <b/>
        <sz val="12"/>
        <color rgb="FFFF0000"/>
        <rFont val="Calibri"/>
        <family val="2"/>
        <scheme val="minor"/>
      </rPr>
      <t>(máximo de 60% sobre as Receitas Correntes)</t>
    </r>
  </si>
  <si>
    <t xml:space="preserve">
OBS 1:  Vedada a inobservância de aplicação dos percentuais:
Atendimento - mínimo de 10% da RAL
Fiscalização – mínimo de 15% da RAL
Despesa com pessoal – até 60% das receitas correntes
Comunicação - mínimo de 3% da RAL
Objetivos Locais - mínimo de 6% da RAL
Patrocínios - máximo de 5% da RAL
ATHIS - mínimo de 2% da RAL
Reserva de Contingência - até 2% da RAL</t>
  </si>
  <si>
    <t xml:space="preserve">
OBS 2: Os órgãos deliberativos dos CAU/UF poderão, mediante as justificativas próprias, Flexibilizar a aplicação de recursos mínimos e máximos na Programação do Plano de Ação e Orçamento de 2023, no seguinte item de despesas:
Capacitação – mínimo de 2% e máximo de 4% da folha de pagamento.
Apresentar justificativa no campo abaixo.</t>
  </si>
  <si>
    <t>Anexo 3- Aplicações por Projetos/Atividades - por Elementos de Despesas (Consolidado) - Programação 2023</t>
  </si>
  <si>
    <t>Comissão de Ensino e Formação (CEF)</t>
  </si>
  <si>
    <t>Manter e Desenvolver as Atividades da Comissão de Ensino e Formação</t>
  </si>
  <si>
    <t>Diretrizes e orientações desenvolvidas para maior integração entre CAU/MG e as Instituições de Ensino Superior mineiras; Demandas administrativas relativas à Comissão realizadas conforme previsões regimentais e pelos normativos do CAU.</t>
  </si>
  <si>
    <t>Comissão de Ética e Disciplina (CED)</t>
  </si>
  <si>
    <t>Manter e Desenvolver as Atividades da Comissão de Ética e Disciplina</t>
  </si>
  <si>
    <t>Cumprir as competências da Comissão conforme Regimento Interno e as ações previstas no seu Plano de Trabalho e no Plano de Ação do CAU/MG.</t>
  </si>
  <si>
    <t>Diretrizes e orientações desenvolvidas e divulgadas para a ampliação da compreensão do Código de Ética no Estado de Minas Gerais; Demandas administrativas relativas à Comissão realizadas conforme previsões regimentais e pelos normativos do CAU.</t>
  </si>
  <si>
    <t>Comissão de Exercício Profissional (CEP)</t>
  </si>
  <si>
    <t>Manter e Desenvolver as Atividades da Comissão de Exercício Profissional</t>
  </si>
  <si>
    <t>Diretrizes e orientações  elaboradas e monitoradas para a fiscalização do CAU/MG; Demandas administrativas relativas à Comissão realizadas conforme previsões regimentais e pelos normativos do CAU.</t>
  </si>
  <si>
    <t>Comissão de Planejamento e Finanças (CPFi)</t>
  </si>
  <si>
    <t>Manter e Desenvolver as Atividades da Comissão de Planejamento e Finanças</t>
  </si>
  <si>
    <t>Diretrizes e orientações elaboradas e revisadas voltadas para melhorias no planejamento das ações administrativas e financeiras do CAU/MG; Demandas administrativas relativas à Comissão realizadas conforme previsões regimentais e pelos normativos do CAU.</t>
  </si>
  <si>
    <t>Comissão de Organização e Administração (COA)</t>
  </si>
  <si>
    <t>Manter e Desenvolver as Atividades da Comissão de Organização e Administração</t>
  </si>
  <si>
    <t>Diretrizes e orientações elaboradas e revisadas voltadas para melhorias organizacionais, normativas e administrativas do CAU/MG; Demandas administrativas relativas à Comissão realizadas conforme previsões regimentais e pelos normativos do CAU.</t>
  </si>
  <si>
    <t>Comissão Especial de Política Urbana e Ambiental (CPUA)</t>
  </si>
  <si>
    <t>Manter e Desenvolver as Atividades da Comissão Especial de Política Urbana e Ambiental</t>
  </si>
  <si>
    <t>Diretrizes e orientações elaboradas e revisadas voltadas para o aperfeiçoamento da política urbana de municípios e estado e para o desenvolvimento profissional integrado às demandas relativas ao planejamento urbano e territorial; Demandas administrativas relativas à Comissão realizadas conforme previsões regimentais e pelos normativos do CAU.</t>
  </si>
  <si>
    <t>Comissão Especial de Assistência Técnica para Habitação de Interesse Social (Cathis)</t>
  </si>
  <si>
    <t>Manter e Desenvolver as Atividades da Comissão Especial de Assistência Técnica para Habitação de Interesse Social</t>
  </si>
  <si>
    <t>Diretrizes e orientações elaboradas e revisadas voltadas para o aperfeiçoamento da política de assistência técnica para habitação de interesse social pública e gratuita e para o desenvolvimento profissional integrado às demandas habitacionais, urbanas e ambientais dos territórios; Demandas administrativas relativas à Comissão realizadas conforme previsões regimentais e pelos normativos do CAU.</t>
  </si>
  <si>
    <t>Comissão Especial de Patrimônio Cultural (CPC)</t>
  </si>
  <si>
    <t>Manter e Desenvolver as Atividades da Comissão Especial de Patrimônio Cultural</t>
  </si>
  <si>
    <t>Diretrizes e orientações elaboradas e revisadas voltadas para a valorização e difusão do patrimônio cultural  e promoção da participação dos arquitetos e urbanistas na atuação direta e gestão do patrimônio cultural como política de Estado; Demandas administrativas relativas à Comissão realizadas conforme previsões regimentais e pelos normativos do CAU.</t>
  </si>
  <si>
    <t>Presidência</t>
  </si>
  <si>
    <t>Manter e Desenvolver as Atividades da Presidência e dos Conselheiros Federais</t>
  </si>
  <si>
    <t>Cumprir as competências dos órgãos colegiados conforme Regimento Interno e seu planejamento</t>
  </si>
  <si>
    <t>Representação oficial realizada pela Presidência do CAU/MG e de seus Conselheiros Federais nas reuniões dos órgãos colegiados do CAU/MG; Rotinas administrativas realizadas pela Presidência do CAU/MG.</t>
  </si>
  <si>
    <t>Manter e Desenvolver as Atividades de Comissões Temporárias</t>
  </si>
  <si>
    <t>Garantir a realização de reuniões e ações de Comissões Temporárias instituídas pelo Plenário para atender demandas específicas, conforme Regimento Interno.</t>
  </si>
  <si>
    <t>Apresentação de relatório(s) conclusivo(s) dirigido(s) ao órgão proponente pela instituição das Comissões Temporárias, apresentados ao final dos trabalhos de resolução de demanda específica, publicando-os no sítio eletrônico do CAU/MG.</t>
  </si>
  <si>
    <t>Edital de Patrocínio modalidade Patrimônio Cultural</t>
  </si>
  <si>
    <t>Fomentar atividades que promovam a arquitetura e urbanismo em Minas Gerais.</t>
  </si>
  <si>
    <t>Lançamento de Edital de Patrocínio, e firmar convênios específicos com o objetivo de valorizar a Arquitetura e Urbanismo em Minas Gerais.</t>
  </si>
  <si>
    <t>Edital de Patrocínio Modalidade Política Urbana</t>
  </si>
  <si>
    <t xml:space="preserve">Fomentar atividades no campo da Política Urbana e Ambiental </t>
  </si>
  <si>
    <t xml:space="preserve">Lançamento de Edital e Premiação dos trabalhos que promovam a Arquitetura e Urbanismo no campo da Política Urbana e Ambiental
</t>
  </si>
  <si>
    <t>Edital de Apoio Institucional</t>
  </si>
  <si>
    <t>Incentivar iniciativas diversas relacionadas ao Exercício da Arquitetura e Urbanismo</t>
  </si>
  <si>
    <t>Apoio Institucional com repasse financeiro como incentivo a iniciativas diversas relacionadas ao Exercício da Arquitetura e Urbanismo</t>
  </si>
  <si>
    <t>Assistência Técnica para Habitação de Interesse Social (ATHIS)</t>
  </si>
  <si>
    <t>Fomentar atividades que promovam a arquitetura e urbanismo em Minas Gerais no campo da Assistência Técnica para a Habitação de Interesse Social (Athis).</t>
  </si>
  <si>
    <t>Representação Institucional do CAU/MG II</t>
  </si>
  <si>
    <t>Garantir a representação de colaborador ou dirigente do CAU/MG no desenvolvimento de ações ligadas ao planejamento urbano e temáticas afins.</t>
  </si>
  <si>
    <t>Ampliação da presença do CAU/MG nos debates de planejamento urbano e temáticas afins no estado.</t>
  </si>
  <si>
    <t>Representação Institucional do CAU/MG I</t>
  </si>
  <si>
    <t>Garantir a representação de colaborador ou dirigente do CAU/MG no desenvolvimento de ações ligadas ao ensino, formação profissional e ao Código de Ética.</t>
  </si>
  <si>
    <t>Ampliação da presença do CAU/MG em Instituições de Ensino Superior (IES) mineiras e órgãos públicos municipais e do estado.</t>
  </si>
  <si>
    <t>Capacitações</t>
  </si>
  <si>
    <t>Garantir a capacitação de colaboradores e dirigentes, melhorando e ampliando a capacidade técnica desses agentes.</t>
  </si>
  <si>
    <t>Capacitação realizada de colaboradores e dirigentes.</t>
  </si>
  <si>
    <t>Manter e Desenvolver as Atividades da Ouvidoria</t>
  </si>
  <si>
    <t>Ampliação da comunicação direta com os profissionais, a fim de propor soluções para demandas críticas e promover melhorias gerais no atendimento.</t>
  </si>
  <si>
    <t>Assessoria de Comunicação (Ascom)</t>
  </si>
  <si>
    <t xml:space="preserve"> Manter e Desenvolver as Atividades da Assessoria de Comunicação</t>
  </si>
  <si>
    <t>Fortalecer a imagem do CAU/MG e garantir a divulgação das informações da autarquia para a sociedade.</t>
  </si>
  <si>
    <t>Acompanhamento da produção, desenvolvimento e distribuição de cartilhas e divulgação de campanhas; Demandas administrativas relativas a assessoria.</t>
  </si>
  <si>
    <t>Gerência Geral (Gergel)</t>
  </si>
  <si>
    <t xml:space="preserve">Manter e Desenvolver as Atividades da Assessoria de Eventos </t>
  </si>
  <si>
    <t>Promover a arquitetura e urbanismo em Minas Gerais através do contato e participação de profissionais e sociedade.</t>
  </si>
  <si>
    <t>Realização de eventos de integração e de esclarecimentos para profissionais e sociedade sobre Arquitetura e Urbanismo.</t>
  </si>
  <si>
    <t xml:space="preserve"> Manter e Desenvolver as Atividades da Gerência Geral</t>
  </si>
  <si>
    <t>Cumprir as atribuições da Gerência Geral conforme atos administrativos do CAU/MG.</t>
  </si>
  <si>
    <t>Integração das atividades realizadas pelas unidades administrativas do CAU/MG.</t>
  </si>
  <si>
    <t>Mudança e adequações da nova sede e escritórios descentralizados do CAU/MG</t>
  </si>
  <si>
    <t>Ocupar espaço físico qualificado e acessível à sociedade para cumprir a finalidade precípua da autarquia.</t>
  </si>
  <si>
    <t>Ocupação de nova sede que comporte com qualidade seu Quadro de Pessoal projetado, mais atividades e reuniões de seus órgãos colegiados, além de economia financeira com custeios de Sede.</t>
  </si>
  <si>
    <t>Secretaria Geral</t>
  </si>
  <si>
    <t xml:space="preserve"> Manter e Desenvolver as Atividades da Secretaria Geral</t>
  </si>
  <si>
    <t>Cumprir as atribuições da Secretaria Geral conforme atos administrativos do CAU/MG.</t>
  </si>
  <si>
    <t>Documentos e correspondências oficiais elaborados; gestão documental da Presidência realizada; cotação de preços realizada.</t>
  </si>
  <si>
    <t>Gerência Técnica  de Fiscalização (Gertef) - Coordenação Fiscalização</t>
  </si>
  <si>
    <t>Manter e Desenvolver as Atividades de Coordenação da Fiscalização da GERTEF</t>
  </si>
  <si>
    <t>Cumprir a finalidade precípua do Conselho, garantindo a fiscalização do exercício profissional.</t>
  </si>
  <si>
    <t>Planejamento e execução das ações de fiscalização.</t>
  </si>
  <si>
    <t>Gerência Técnica  de Fiscalização (Gertef) - Rotas</t>
  </si>
  <si>
    <t>Fiscalização Itinerante / Rotas</t>
  </si>
  <si>
    <t>Promover a atuação itinerante do CAU/MG e mesmo as ações de fiscalização que envolvam uso de veículo.</t>
  </si>
  <si>
    <t>Ampliação da atuação da Fiscalização Itinerante do CAU/MG, não apenas nas cidades onde há a presença dos fiscais, mas também em outros municípios mineiros.</t>
  </si>
  <si>
    <t>Gerência Técnica e Fiscalização (Gertef) -  Coordenação de Fiscalização</t>
  </si>
  <si>
    <t>Centro de Serviços Compartilhados (CSC) - Fiscalização</t>
  </si>
  <si>
    <t>Garantia do funcionamento do CSC e dos demais Sistemas de Informação a ele vinculados.</t>
  </si>
  <si>
    <t>Gerência Técnica  de Fiscalização (Gertef) - Coordenação Técnica</t>
  </si>
  <si>
    <t>Manter e Desenvolver as Atividades de Coordenação Técnica da GERTEF</t>
  </si>
  <si>
    <t>Manter a regularidade dos registros, anotação de títulos e acervo do profissional.</t>
  </si>
  <si>
    <t>Atendimento de solicitações e cumprimento dos prazos previstos na Carta de Serviços e normativos do CAU/BR; realização do assessoramento de Comissões.</t>
  </si>
  <si>
    <t>Gerência Técnica e Fiscalização (Gertef) -  Coordenação Técnica</t>
  </si>
  <si>
    <t>Centro de Serviços Compartilhados (CSC) - Atendimento</t>
  </si>
  <si>
    <t>Assegurar o funcionamento do Centro de Serviços Compartilhados e Fundo de Reserva CSC relacionadas ao Atendimento.</t>
  </si>
  <si>
    <t>Gerência Jurídica (Gerjur)</t>
  </si>
  <si>
    <t>Manter e Desenvolver as Atividades da Gerência Jurídica</t>
  </si>
  <si>
    <t>Preservar a imagem jurídica do CAU/MG e observar a legalidade dos processos internos.</t>
  </si>
  <si>
    <t>Ajuizamento e defesa em ações do CAU/MG na Justiça; Cumprimento dos expedientes de rotina atribuída à Gerência pelos atos normativos do CAU/MG.</t>
  </si>
  <si>
    <t>Gerência Administrativa e Financeira (GAF)</t>
  </si>
  <si>
    <t>Fundo de Apoio aos CAU/UF</t>
  </si>
  <si>
    <t>Assegurar a sustentabilidade financeira do Sistema do CAU, apoiando os CAU/UF básicos.</t>
  </si>
  <si>
    <t>Garantia da sustentabilidade do Fundo de Apoio do CAU.</t>
  </si>
  <si>
    <t>Reserva de Contingência</t>
  </si>
  <si>
    <t>Manter o Fundo para despesas não planejadas.</t>
  </si>
  <si>
    <t>Fomento de despesas extraordinárias do CAU/MG efetivado.</t>
  </si>
  <si>
    <t>Manter e Desenvolver as Atividades da Gerência Administrativa e Financeira</t>
  </si>
  <si>
    <t>Observar a Sustentabilidade Financeira do CAU/MG e acompanhar a execução orçamentária e financeira.</t>
  </si>
  <si>
    <t>Desenvolvimento pleno das rotinas administrativas e financeiras do CAU/MG; Garantia da sustentabilidade financeira do CAU/MG; Elaboração e consolidação das propostas de Programação e Reprogramação Orçamentária.</t>
  </si>
  <si>
    <t>Gerência Especial de Planejamento e Gestão Estratégica (Geplan)</t>
  </si>
  <si>
    <t>Manter e Desenvolver as Atividades da Gerência Especial de Planejamento e Gestão Estratégica</t>
  </si>
  <si>
    <t>Elaboração dos Planos de Ação; Termos de cooperação técnica com municípios e órgãos públicos; Apoio à Presidência; Acompanhamento dos Indicadores Estratégicos revisados; Elaboração e consolidação das propostas de Programação e Reprogramação Orçamentária; Elaboração e consolidação dos Relatórios de Gestão; Atualização do fluxo de trabalho de processos operacionais padrão (POP).</t>
  </si>
  <si>
    <t>Escritório Descentralizado Norte Minas</t>
  </si>
  <si>
    <t>Manter e Desenvolver as Atividades do Escritório Descentralizado Norte de Minas</t>
  </si>
  <si>
    <t>Cumprir a finalidade precípua do Conselho, garantindo a fiscalização do exercício profissional na Regional Norte de Minas.</t>
  </si>
  <si>
    <t>Desenvolvimento das ações de atendimento planejadas para a Regional.</t>
  </si>
  <si>
    <t>Escritório Descentralizado Triângulo Mineiro e Alto Paranaíba</t>
  </si>
  <si>
    <t>Manter e Desenvolver as Atividades do Escritório Descentralizado Triângulo Mineiro e Alto Paranaíba</t>
  </si>
  <si>
    <t>Cumprir a finalidade precípua do Conselho, garantindo a fiscalização do exercício profissional na Regional Triângulo Mineiro e Alto Paranaíba.</t>
  </si>
  <si>
    <t>Escritório Descentralizado Zona da Mata e Vertentes</t>
  </si>
  <si>
    <t>Manter e Desenvolver as Atividades do Escritório Descentralizado Zona da Mata e Vertentes.</t>
  </si>
  <si>
    <t>Cumprir a finalidade precípua do Conselho, garantindo a fiscalização do exercício profissional na Regional Zona da Mata e Vertentes.</t>
  </si>
  <si>
    <t>Escritório Descentralizado Sul de Minas</t>
  </si>
  <si>
    <t>Manter e Desenvolver as Atividades do Escritório Descentralizado Sul de Minas</t>
  </si>
  <si>
    <t>Cumprir a finalidade precípua do Conselho, garantindo a fiscalização do exercício profissional na Regional Sul de Minas.</t>
  </si>
  <si>
    <t>Escritório Descentralizado Leste de Minas</t>
  </si>
  <si>
    <t>Manter e Desenvolver as Atividades do Escritório Descentralizado Leste de Minas</t>
  </si>
  <si>
    <t>Cumprir a finalidade precípua do Conselho, garantindo a fiscalização do exercício profissional na Regional Leste de Minas.</t>
  </si>
  <si>
    <t>Colegiado das Entidades Estaduais de Arquitetos e Urbanistas do CAU/MG (CEAU)</t>
  </si>
  <si>
    <t>Manter e Desenvolver as Atividades do Colegiado das Entidades Estaduais de Arquitetos e Urbanistas do CAU/MG</t>
  </si>
  <si>
    <t>Cumprir as competências do Colegiado conforme Regimento Interno e as ações previstas no seu Plano de Trabalho e no Plano de Ação do CAU/MG.</t>
  </si>
  <si>
    <t>Ações desenvolvidas voltadas à capacitação técnica, valorização profissional e conscientização da sociedade do papel do arquiteto e urbanista; Demandas administrativas relativas ao CEAU realizadas conforme previsões regimentais e pelos normativos do CAU.</t>
  </si>
  <si>
    <t>Edital de Patrocínio para Entidades de Arquitetos e Urbanistas</t>
  </si>
  <si>
    <t>Fortalecer a relação institucional com as entidades de arquitetos e urbanistas no sentido de fomentar o acesso da sociedade à arquitetura e urbanismo.</t>
  </si>
  <si>
    <t>Lançamento de Edital de Patrocínio e firmar convênios específicos com o objetivo de valorizar a Arquitetura e Urbanismo em Minas Gerais.</t>
  </si>
  <si>
    <t>MAPA ESTRATÉGICO CAU/MG</t>
  </si>
  <si>
    <t>NSA</t>
  </si>
  <si>
    <r>
      <t>Quantidade de participantes presentes</t>
    </r>
    <r>
      <rPr>
        <sz val="12"/>
        <color rgb="FFFF0000"/>
        <rFont val="Calibri"/>
        <family val="2"/>
        <scheme val="minor"/>
      </rPr>
      <t xml:space="preserve"> (= 864)</t>
    </r>
  </si>
  <si>
    <r>
      <t xml:space="preserve">quantidade de participantes previstas no Plano de Ação Aprovado </t>
    </r>
    <r>
      <rPr>
        <sz val="12"/>
        <color rgb="FFFF0000"/>
        <rFont val="Calibri"/>
        <family val="2"/>
        <scheme val="minor"/>
      </rPr>
      <t>(= 1.440)</t>
    </r>
  </si>
  <si>
    <r>
      <t xml:space="preserve">custos totais dos eventos </t>
    </r>
    <r>
      <rPr>
        <sz val="12"/>
        <color rgb="FFFF0000"/>
        <rFont val="Calibri"/>
        <family val="2"/>
        <scheme val="minor"/>
      </rPr>
      <t xml:space="preserve"> (= R$ 13.000)</t>
    </r>
  </si>
  <si>
    <r>
      <t xml:space="preserve">quantidade de participantes presentes  </t>
    </r>
    <r>
      <rPr>
        <sz val="12"/>
        <color rgb="FFFF0000"/>
        <rFont val="Calibri"/>
        <family val="2"/>
        <scheme val="minor"/>
      </rPr>
      <t>(= 1.440)</t>
    </r>
  </si>
  <si>
    <r>
      <t xml:space="preserve">número de pessoas atingida pelo material produzido e distribuído </t>
    </r>
    <r>
      <rPr>
        <sz val="12"/>
        <color rgb="FFFF0000"/>
        <rFont val="Calibri"/>
        <family val="2"/>
        <scheme val="minor"/>
      </rPr>
      <t>(= 864)</t>
    </r>
  </si>
  <si>
    <r>
      <t>quantidade de material informativo produzido</t>
    </r>
    <r>
      <rPr>
        <sz val="12"/>
        <color rgb="FFFF0000"/>
        <rFont val="Calibri"/>
        <family val="2"/>
        <scheme val="minor"/>
      </rPr>
      <t xml:space="preserve"> ( = 1.555)</t>
    </r>
  </si>
  <si>
    <r>
      <t xml:space="preserve">total de municípios da UF </t>
    </r>
    <r>
      <rPr>
        <sz val="12"/>
        <color rgb="FFFF0000"/>
        <rFont val="Calibri"/>
        <family val="2"/>
        <scheme val="minor"/>
      </rPr>
      <t>(=853)</t>
    </r>
  </si>
  <si>
    <r>
      <t xml:space="preserve">número de termos e parcerias previstos no Plano de Ação  </t>
    </r>
    <r>
      <rPr>
        <sz val="12"/>
        <color rgb="FFFF0000"/>
        <rFont val="Calibri"/>
        <family val="2"/>
        <scheme val="minor"/>
      </rPr>
      <t>(=15)</t>
    </r>
  </si>
  <si>
    <r>
      <t xml:space="preserve">quantidade de termos de cooperação técnica e parcerias para racionalização da ações de fiscalização </t>
    </r>
    <r>
      <rPr>
        <sz val="12"/>
        <color rgb="FFFF0000"/>
        <rFont val="Calibri"/>
        <family val="2"/>
        <scheme val="minor"/>
      </rPr>
      <t>(=12)</t>
    </r>
  </si>
  <si>
    <r>
      <t xml:space="preserve">número de processos mapeados </t>
    </r>
    <r>
      <rPr>
        <sz val="12"/>
        <color rgb="FFFF0000"/>
        <rFont val="Calibri"/>
        <family val="2"/>
        <scheme val="minor"/>
      </rPr>
      <t xml:space="preserve"> (=64)</t>
    </r>
  </si>
  <si>
    <r>
      <t>total de processos existentes</t>
    </r>
    <r>
      <rPr>
        <sz val="12"/>
        <color rgb="FFFF0000"/>
        <rFont val="Calibri"/>
        <family val="2"/>
        <scheme val="minor"/>
      </rPr>
      <t xml:space="preserve">  (=64)</t>
    </r>
  </si>
  <si>
    <r>
      <t xml:space="preserve">total de processos existentes </t>
    </r>
    <r>
      <rPr>
        <sz val="12"/>
        <color rgb="FFFF0000"/>
        <rFont val="Calibri"/>
        <family val="2"/>
        <scheme val="minor"/>
      </rPr>
      <t xml:space="preserve"> (=64)</t>
    </r>
  </si>
  <si>
    <r>
      <t>número de processos normatizados</t>
    </r>
    <r>
      <rPr>
        <sz val="12"/>
        <color rgb="FFFF0000"/>
        <rFont val="Calibri"/>
        <family val="2"/>
        <scheme val="minor"/>
      </rPr>
      <t xml:space="preserve"> (=46)</t>
    </r>
  </si>
  <si>
    <r>
      <t xml:space="preserve">número de processos automatizados </t>
    </r>
    <r>
      <rPr>
        <sz val="12"/>
        <color rgb="FFFF0000"/>
        <rFont val="Calibri"/>
        <family val="2"/>
        <scheme val="minor"/>
      </rPr>
      <t>(=0)</t>
    </r>
  </si>
  <si>
    <r>
      <t>tempo máximo para conclusão de processo</t>
    </r>
    <r>
      <rPr>
        <sz val="12"/>
        <color rgb="FFFF0000"/>
        <rFont val="Calibri"/>
        <family val="2"/>
        <scheme val="minor"/>
      </rPr>
      <t xml:space="preserve"> (=1.095)</t>
    </r>
  </si>
  <si>
    <r>
      <t xml:space="preserve">tempo médio de conclusão de processos éticos </t>
    </r>
    <r>
      <rPr>
        <sz val="12"/>
        <color rgb="FFFF0000"/>
        <rFont val="Calibri"/>
        <family val="2"/>
        <scheme val="minor"/>
      </rPr>
      <t>(=537)</t>
    </r>
  </si>
  <si>
    <r>
      <t xml:space="preserve">número total de processos éticos abertos </t>
    </r>
    <r>
      <rPr>
        <sz val="12"/>
        <color rgb="FFFF0000"/>
        <rFont val="Calibri"/>
        <family val="2"/>
        <scheme val="minor"/>
      </rPr>
      <t>(=37)</t>
    </r>
  </si>
  <si>
    <r>
      <t xml:space="preserve">número de processos éticos concluídos em um ano </t>
    </r>
    <r>
      <rPr>
        <sz val="12"/>
        <color rgb="FFFF0000"/>
        <rFont val="Calibri"/>
        <family val="2"/>
        <scheme val="minor"/>
      </rPr>
      <t>(=19)</t>
    </r>
  </si>
  <si>
    <r>
      <t xml:space="preserve">total de notícias sobre questões de Arquitetura e Urbanismo </t>
    </r>
    <r>
      <rPr>
        <sz val="12"/>
        <color rgb="FFFF0000"/>
        <rFont val="Calibri"/>
        <family val="2"/>
        <scheme val="minor"/>
      </rPr>
      <t>(=600)</t>
    </r>
  </si>
  <si>
    <r>
      <t xml:space="preserve">número de inserções na mídia em geral onde o CAU/UF foi citado </t>
    </r>
    <r>
      <rPr>
        <sz val="12"/>
        <color rgb="FFFF0000"/>
        <rFont val="Calibri"/>
        <family val="2"/>
        <scheme val="minor"/>
      </rPr>
      <t>(=42)</t>
    </r>
  </si>
  <si>
    <r>
      <t xml:space="preserve">total de inserções do CAU na mídia </t>
    </r>
    <r>
      <rPr>
        <sz val="12"/>
        <color rgb="FFFF0000"/>
        <rFont val="Calibri"/>
        <family val="2"/>
        <scheme val="minor"/>
      </rPr>
      <t>(=25)</t>
    </r>
  </si>
  <si>
    <r>
      <t xml:space="preserve">número de inserções positivas do CAU/UF na mídia </t>
    </r>
    <r>
      <rPr>
        <sz val="12"/>
        <color rgb="FFFF0000"/>
        <rFont val="Calibri"/>
        <family val="2"/>
        <scheme val="minor"/>
      </rPr>
      <t>(=21)</t>
    </r>
  </si>
  <si>
    <r>
      <t>total de iniciativas planejadas</t>
    </r>
    <r>
      <rPr>
        <sz val="12"/>
        <color rgb="FFFF0000"/>
        <rFont val="Calibri"/>
        <family val="2"/>
        <scheme val="minor"/>
      </rPr>
      <t xml:space="preserve"> (253)  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</si>
  <si>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>total de iniciativas executadas</t>
    </r>
    <r>
      <rPr>
        <b/>
        <sz val="12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 xml:space="preserve">(165)  </t>
    </r>
    <r>
      <rPr>
        <b/>
        <sz val="12"/>
        <rFont val="Calibri"/>
        <family val="2"/>
        <scheme val="minor"/>
      </rPr>
      <t xml:space="preserve">                                                                    </t>
    </r>
  </si>
  <si>
    <r>
      <t xml:space="preserve">quantidade de ações de fiscalização realizadas pelo CAU/UF no mês </t>
    </r>
    <r>
      <rPr>
        <sz val="12"/>
        <color rgb="FFFF0000"/>
        <rFont val="Calibri"/>
        <family val="2"/>
        <scheme val="minor"/>
      </rPr>
      <t>(=4649)</t>
    </r>
  </si>
  <si>
    <r>
      <t xml:space="preserve">número de ações de fiscalização previstas no Plano de Ação aprovado </t>
    </r>
    <r>
      <rPr>
        <sz val="12"/>
        <color rgb="FFFF0000"/>
        <rFont val="Calibri"/>
        <family val="2"/>
        <scheme val="minor"/>
      </rPr>
      <t>(=6550)</t>
    </r>
  </si>
  <si>
    <r>
      <t xml:space="preserve">quantidade de obras e serviços regulares </t>
    </r>
    <r>
      <rPr>
        <sz val="12"/>
        <color rgb="FFFF0000"/>
        <rFont val="Calibri"/>
        <family val="2"/>
        <scheme val="minor"/>
      </rPr>
      <t>(=187)</t>
    </r>
  </si>
  <si>
    <r>
      <t>quantidade de obras e serviços fiscalizados pelo CAU/UF</t>
    </r>
    <r>
      <rPr>
        <sz val="12"/>
        <color rgb="FFFF0000"/>
        <rFont val="Calibri"/>
        <family val="2"/>
        <scheme val="minor"/>
      </rPr>
      <t xml:space="preserve"> (=1870)</t>
    </r>
  </si>
  <si>
    <r>
      <t xml:space="preserve"> total de profissionais ativos</t>
    </r>
    <r>
      <rPr>
        <sz val="12"/>
        <color rgb="FFFF0000"/>
        <rFont val="Calibri"/>
        <family val="2"/>
        <scheme val="minor"/>
      </rPr>
      <t xml:space="preserve"> (=18556)</t>
    </r>
  </si>
  <si>
    <r>
      <t>número total de RRT registrados (pagos) por mês</t>
    </r>
    <r>
      <rPr>
        <sz val="12"/>
        <color rgb="FFFF0000"/>
        <rFont val="Calibri"/>
        <family val="2"/>
        <scheme val="minor"/>
      </rPr>
      <t xml:space="preserve"> (=60223/12)</t>
    </r>
  </si>
  <si>
    <r>
      <t>quantidade de denúncias atendidas</t>
    </r>
    <r>
      <rPr>
        <sz val="12"/>
        <color rgb="FFFF0000"/>
        <rFont val="Calibri"/>
        <family val="2"/>
        <scheme val="minor"/>
      </rPr>
      <t xml:space="preserve"> (=173)</t>
    </r>
  </si>
  <si>
    <r>
      <t>número de denúncias recebidas</t>
    </r>
    <r>
      <rPr>
        <sz val="12"/>
        <color rgb="FFFF0000"/>
        <rFont val="Calibri"/>
        <family val="2"/>
        <scheme val="minor"/>
      </rPr>
      <t xml:space="preserve"> (=216)</t>
    </r>
  </si>
  <si>
    <r>
      <t xml:space="preserve">número de processos de fiscalização concluídos no semestre </t>
    </r>
    <r>
      <rPr>
        <sz val="12"/>
        <color rgb="FFFF0000"/>
        <rFont val="Calibri"/>
        <family val="2"/>
        <scheme val="minor"/>
      </rPr>
      <t>(=402)</t>
    </r>
  </si>
  <si>
    <r>
      <t xml:space="preserve"> número total de processos de fiscalização em aberto no ano </t>
    </r>
    <r>
      <rPr>
        <sz val="12"/>
        <color rgb="FFFF0000"/>
        <rFont val="Calibri"/>
        <family val="2"/>
        <scheme val="minor"/>
      </rPr>
      <t>(=2012)</t>
    </r>
  </si>
  <si>
    <r>
      <t xml:space="preserve">quantidade mensal de ações de fiscalização realizada </t>
    </r>
    <r>
      <rPr>
        <sz val="12"/>
        <color rgb="FFFF0000"/>
        <rFont val="Calibri"/>
        <family val="2"/>
        <scheme val="minor"/>
      </rPr>
      <t>(=4649/12)</t>
    </r>
  </si>
  <si>
    <r>
      <t xml:space="preserve">número de horas de fiscalização mensal </t>
    </r>
    <r>
      <rPr>
        <sz val="12"/>
        <color rgb="FFFF0000"/>
        <rFont val="Calibri"/>
        <family val="2"/>
        <scheme val="minor"/>
      </rPr>
      <t>(=1344)</t>
    </r>
  </si>
  <si>
    <r>
      <t xml:space="preserve">quantidade obras e serviços com RRT </t>
    </r>
    <r>
      <rPr>
        <sz val="12"/>
        <color rgb="FFFF0000"/>
        <rFont val="Calibri"/>
        <family val="2"/>
        <scheme val="minor"/>
      </rPr>
      <t>(=28)</t>
    </r>
  </si>
  <si>
    <r>
      <t>quantidade de obras e serviços regulares</t>
    </r>
    <r>
      <rPr>
        <sz val="12"/>
        <color rgb="FFFF0000"/>
        <rFont val="Calibri"/>
        <family val="2"/>
        <scheme val="minor"/>
      </rPr>
      <t xml:space="preserve"> (=187)</t>
    </r>
  </si>
  <si>
    <r>
      <t xml:space="preserve">quantidade de obras e serviços regularizados </t>
    </r>
    <r>
      <rPr>
        <sz val="12"/>
        <color rgb="FFFF0000"/>
        <rFont val="Calibri"/>
        <family val="2"/>
        <scheme val="minor"/>
      </rPr>
      <t>(=180)</t>
    </r>
  </si>
  <si>
    <r>
      <t>quantidade de obras e serviços fiscalizados pelo CAU/UF</t>
    </r>
    <r>
      <rPr>
        <sz val="12"/>
        <color rgb="FFFF0000"/>
        <rFont val="Calibri"/>
        <family val="2"/>
        <scheme val="minor"/>
      </rPr>
      <t xml:space="preserve"> (=1811)</t>
    </r>
  </si>
  <si>
    <r>
      <t>quantidade de obras e serviços regularizados com RRT</t>
    </r>
    <r>
      <rPr>
        <sz val="12"/>
        <color rgb="FFFF0000"/>
        <rFont val="Calibri"/>
        <family val="2"/>
        <scheme val="minor"/>
      </rPr>
      <t xml:space="preserve"> (=81)</t>
    </r>
  </si>
  <si>
    <r>
      <t xml:space="preserve">quantidade obras e serviços regularizados </t>
    </r>
    <r>
      <rPr>
        <sz val="12"/>
        <color rgb="FFFF0000"/>
        <rFont val="Calibri"/>
        <family val="2"/>
        <scheme val="minor"/>
      </rPr>
      <t>(=162)</t>
    </r>
  </si>
  <si>
    <r>
      <t>número de solicitações tratadas no prazo estipulado pela Carta de Serviços no trimestre</t>
    </r>
    <r>
      <rPr>
        <sz val="12"/>
        <color rgb="FFFF0000"/>
        <rFont val="Calibri"/>
        <family val="2"/>
        <scheme val="minor"/>
      </rPr>
      <t xml:space="preserve"> (=24472)</t>
    </r>
  </si>
  <si>
    <r>
      <t xml:space="preserve">número de solicitações abertas no trimestre </t>
    </r>
    <r>
      <rPr>
        <sz val="12"/>
        <color rgb="FFFF0000"/>
        <rFont val="Calibri"/>
        <family val="2"/>
        <scheme val="minor"/>
      </rPr>
      <t>(=24472)</t>
    </r>
  </si>
  <si>
    <r>
      <t>número de usuários satisfeitos com a solução da demanda</t>
    </r>
    <r>
      <rPr>
        <sz val="12"/>
        <color rgb="FFFF0000"/>
        <rFont val="Calibri"/>
        <family val="2"/>
        <scheme val="minor"/>
      </rPr>
      <t xml:space="preserve"> (=1438)</t>
    </r>
  </si>
  <si>
    <r>
      <t xml:space="preserve">número de usuários que responderam a pesquisa </t>
    </r>
    <r>
      <rPr>
        <sz val="12"/>
        <color rgb="FFFF0000"/>
        <rFont val="Calibri"/>
        <family val="2"/>
        <scheme val="minor"/>
      </rPr>
      <t>(=1523)</t>
    </r>
  </si>
  <si>
    <r>
      <t>total de RRT pagos na UF</t>
    </r>
    <r>
      <rPr>
        <sz val="12"/>
        <color rgb="FFFF0000"/>
        <rFont val="Calibri"/>
        <family val="2"/>
        <scheme val="minor"/>
      </rPr>
      <t xml:space="preserve"> (=60233)</t>
    </r>
  </si>
  <si>
    <r>
      <t xml:space="preserve">população total da UF/1000 habitantes </t>
    </r>
    <r>
      <rPr>
        <sz val="12"/>
        <color rgb="FFFF0000"/>
        <rFont val="Calibri"/>
        <family val="2"/>
        <scheme val="minor"/>
      </rPr>
      <t>(=21411923/1000)</t>
    </r>
  </si>
  <si>
    <r>
      <t xml:space="preserve">RRT mínima </t>
    </r>
    <r>
      <rPr>
        <sz val="12"/>
        <color rgb="FFFF0000"/>
        <rFont val="Calibri"/>
        <family val="2"/>
        <scheme val="minor"/>
      </rPr>
      <t>(=1596)</t>
    </r>
  </si>
  <si>
    <r>
      <t xml:space="preserve">total de RRT na UF </t>
    </r>
    <r>
      <rPr>
        <sz val="12"/>
        <color rgb="FFFF0000"/>
        <rFont val="Calibri"/>
        <family val="2"/>
        <scheme val="minor"/>
      </rPr>
      <t>(=60233)</t>
    </r>
  </si>
  <si>
    <r>
      <t xml:space="preserve">RRT Social </t>
    </r>
    <r>
      <rPr>
        <sz val="12"/>
        <color rgb="FFFF0000"/>
        <rFont val="Calibri"/>
        <family val="2"/>
        <scheme val="minor"/>
      </rPr>
      <t>(=361)</t>
    </r>
  </si>
  <si>
    <r>
      <t xml:space="preserve">número de usuários externos satisfeitos com a tecnologia </t>
    </r>
    <r>
      <rPr>
        <sz val="12"/>
        <color rgb="FFFF0000"/>
        <rFont val="Calibri"/>
        <family val="2"/>
        <scheme val="minor"/>
      </rPr>
      <t>(=1392)</t>
    </r>
  </si>
  <si>
    <r>
      <t xml:space="preserve">total de usuários externos que participaram da pesquisa </t>
    </r>
    <r>
      <rPr>
        <sz val="12"/>
        <color rgb="FFFF0000"/>
        <rFont val="Calibri"/>
        <family val="2"/>
        <scheme val="minor"/>
      </rPr>
      <t>(=1523)</t>
    </r>
  </si>
  <si>
    <r>
      <t>total de municípios da UF</t>
    </r>
    <r>
      <rPr>
        <sz val="12"/>
        <color rgb="FFFF0000"/>
        <rFont val="Calibri"/>
        <family val="2"/>
        <scheme val="minor"/>
      </rPr>
      <t xml:space="preserve">  (=853)</t>
    </r>
  </si>
  <si>
    <r>
      <t xml:space="preserve">número de ações com participação do CAU/UF </t>
    </r>
    <r>
      <rPr>
        <sz val="12"/>
        <color rgb="FFFF0000"/>
        <rFont val="Calibri"/>
        <family val="2"/>
        <scheme val="minor"/>
      </rPr>
      <t>(=12)</t>
    </r>
  </si>
  <si>
    <r>
      <t xml:space="preserve">receita corrente </t>
    </r>
    <r>
      <rPr>
        <sz val="12"/>
        <color rgb="FFFF0000"/>
        <rFont val="Calibri"/>
        <family val="2"/>
        <scheme val="minor"/>
      </rPr>
      <t>(=15.243.933,98)</t>
    </r>
  </si>
  <si>
    <r>
      <t>total de profissionais inadimplentes</t>
    </r>
    <r>
      <rPr>
        <sz val="12"/>
        <color rgb="FFFF0000"/>
        <rFont val="Calibri"/>
        <family val="2"/>
        <scheme val="minor"/>
      </rPr>
      <t xml:space="preserve"> (=4.752)</t>
    </r>
  </si>
  <si>
    <r>
      <t xml:space="preserve">total de profissionais potenciais pagantes </t>
    </r>
    <r>
      <rPr>
        <sz val="12"/>
        <color rgb="FFFF0000"/>
        <rFont val="Calibri"/>
        <family val="2"/>
        <scheme val="minor"/>
      </rPr>
      <t>(=17.755)</t>
    </r>
  </si>
  <si>
    <r>
      <t>total de empresas ativas</t>
    </r>
    <r>
      <rPr>
        <sz val="12"/>
        <color rgb="FFFF0000"/>
        <rFont val="Calibri"/>
        <family val="2"/>
        <scheme val="minor"/>
      </rPr>
      <t xml:space="preserve"> (=2.197)</t>
    </r>
  </si>
  <si>
    <r>
      <t>total de profissionais ativos</t>
    </r>
    <r>
      <rPr>
        <sz val="12"/>
        <color rgb="FFFF0000"/>
        <rFont val="Calibri"/>
        <family val="2"/>
        <scheme val="minor"/>
      </rPr>
      <t xml:space="preserve"> (=18.556)</t>
    </r>
  </si>
  <si>
    <r>
      <t xml:space="preserve">total de empresas inadimplentes </t>
    </r>
    <r>
      <rPr>
        <sz val="12"/>
        <color rgb="FFFF0000"/>
        <rFont val="Calibri"/>
        <family val="2"/>
        <scheme val="minor"/>
      </rPr>
      <t>(=743)</t>
    </r>
  </si>
  <si>
    <r>
      <t xml:space="preserve">custo total de pessoal </t>
    </r>
    <r>
      <rPr>
        <sz val="12"/>
        <color rgb="FFFF0000"/>
        <rFont val="Calibri"/>
        <family val="2"/>
        <scheme val="minor"/>
      </rPr>
      <t>(=8.396.524,34)</t>
    </r>
  </si>
  <si>
    <r>
      <t xml:space="preserve">ativo circulante </t>
    </r>
    <r>
      <rPr>
        <sz val="12"/>
        <color rgb="FFFF0000"/>
        <rFont val="Calibri"/>
        <family val="2"/>
        <scheme val="minor"/>
      </rPr>
      <t>(=24.000.000,00)</t>
    </r>
  </si>
  <si>
    <r>
      <t xml:space="preserve">passivo circulante </t>
    </r>
    <r>
      <rPr>
        <sz val="12"/>
        <color rgb="FFFF0000"/>
        <rFont val="Calibri"/>
        <family val="2"/>
        <scheme val="minor"/>
      </rPr>
      <t>(=950.000,00)</t>
    </r>
  </si>
  <si>
    <t>GERGEL</t>
  </si>
  <si>
    <t>Projeto Eleições 2023</t>
  </si>
  <si>
    <t>Cumprir o Regimento Eleitoral do CAU Brasil</t>
  </si>
  <si>
    <t>Realização plena do processo eleitoral para a gestão 2024/2026 do CAU/MG</t>
  </si>
  <si>
    <t>Concurso público 2023</t>
  </si>
  <si>
    <t>Promover seleção de colaboradores para o quadro do CAU/MG</t>
  </si>
  <si>
    <t>Seleção de empregados para composição do quadro técnico do CAU/MG</t>
  </si>
  <si>
    <r>
      <t xml:space="preserve">horas totais de treinamento </t>
    </r>
    <r>
      <rPr>
        <sz val="12"/>
        <color rgb="FFFF0000"/>
        <rFont val="Calibri"/>
        <family val="2"/>
        <scheme val="minor"/>
      </rPr>
      <t>(1672)</t>
    </r>
  </si>
  <si>
    <r>
      <t xml:space="preserve">número total de colaboradores e dirigentes </t>
    </r>
    <r>
      <rPr>
        <sz val="12"/>
        <color rgb="FFFF0000"/>
        <rFont val="Calibri"/>
        <family val="2"/>
        <scheme val="minor"/>
      </rPr>
      <t>(53)</t>
    </r>
  </si>
  <si>
    <t>Superávit Financeiro 2021</t>
  </si>
  <si>
    <t>Reprogramação</t>
  </si>
  <si>
    <t>Superávit financeiro
apurado em 2021</t>
  </si>
  <si>
    <t>I - Superávit financeiro acumulado (2012 a 2021)</t>
  </si>
  <si>
    <t>CHECAGEM</t>
  </si>
  <si>
    <t>Parecer 2022</t>
  </si>
  <si>
    <r>
      <t xml:space="preserve">número de municípios  da UF que possuem  Plano Diretor </t>
    </r>
    <r>
      <rPr>
        <sz val="12"/>
        <color rgb="FFFF0000"/>
        <rFont val="Calibri"/>
        <family val="2"/>
        <scheme val="minor"/>
      </rPr>
      <t>(=317)</t>
    </r>
  </si>
  <si>
    <r>
      <t xml:space="preserve">receita corrente </t>
    </r>
    <r>
      <rPr>
        <sz val="12"/>
        <color rgb="FFFF0000"/>
        <rFont val="Calibri"/>
        <family val="2"/>
        <scheme val="minor"/>
      </rPr>
      <t>(=15245000)</t>
    </r>
  </si>
  <si>
    <t xml:space="preserve"> Os valores alocados para cumprimento do limite estratégico - Patrocínios tem origem no valor alocado em Projetos Específicos a ser custeado com a utilização de Superávit de Exercícios Anteriores.
O valor apresentado na alínea B no módulo de Folha de Pagamento (R$ 1.504.979,23) corresponde à soma dos valores projetados dos seguintes benefícios:
a) Auxílio Alimentação: R$ 652.700,00
b) Reembolso Plano de Saúde: R$ 780.947,11
c) Auxílio Creche: R$ 30.940,13
d) Vale Transporte: R$ 40.392,00
Não há valor projetado para rescisões.</t>
  </si>
  <si>
    <t>R$ 1.800.00,00 a serem investidos em aquisição de bens móveis imobilizados (1 - Aquisição de duas vans adaptadas como escritórios móveis  2 - Adequação de espaços físicos da Sede e Escritórios descentralizados do CAU/MG- Itens Imobilizados) com origem em superávits de exercícios anteriores;
R$ 645.000,00 a serem investidos em projetos específicos (1 - Editais de Chamada Pública de Patrocínio na modalidade Patrimônio Cultural  2 - Editais de Patrocínio modalidade Política Urbana  3 - Editais de Apoio Institucional Fluxo Contínuo  4 - Edital de Patrocínio para Entidades de Arquitetos e Urbanistas).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</si>
</sst>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* #,##0.00000_-;\-* #,##0.00000_-;_-* &quot;-&quot;??_-;_-@_-"/>
    <numFmt numFmtId="174" formatCode="0.00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87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z val="12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sz val="14"/>
      <color indexed="8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A5664"/>
        <bgColor indexed="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FA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171" fontId="19" fillId="0" borderId="0" applyBorder="0" applyProtection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7" fillId="2" borderId="0" xfId="0" applyFont="1" applyFill="1" applyAlignment="1">
      <alignment vertical="center" wrapText="1"/>
    </xf>
    <xf numFmtId="0" fontId="4" fillId="0" borderId="0" xfId="0" applyFont="1"/>
    <xf numFmtId="0" fontId="25" fillId="2" borderId="0" xfId="0" applyFont="1" applyFill="1"/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2" borderId="1" xfId="4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64" fontId="4" fillId="2" borderId="1" xfId="4" applyFont="1" applyFill="1" applyBorder="1" applyAlignment="1" applyProtection="1">
      <alignment vertical="center"/>
      <protection locked="0"/>
    </xf>
    <xf numFmtId="164" fontId="3" fillId="2" borderId="1" xfId="4" applyFont="1" applyFill="1" applyBorder="1" applyAlignment="1" applyProtection="1">
      <alignment vertical="center"/>
      <protection locked="0"/>
    </xf>
    <xf numFmtId="164" fontId="3" fillId="2" borderId="1" xfId="4" applyFont="1" applyFill="1" applyBorder="1" applyAlignment="1" applyProtection="1">
      <alignment vertical="center" wrapText="1"/>
      <protection locked="0"/>
    </xf>
    <xf numFmtId="169" fontId="3" fillId="3" borderId="1" xfId="4" applyNumberFormat="1" applyFont="1" applyFill="1" applyBorder="1" applyAlignment="1" applyProtection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168" fontId="0" fillId="0" borderId="0" xfId="4" applyNumberFormat="1" applyFont="1"/>
    <xf numFmtId="169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17" fillId="0" borderId="0" xfId="4" applyFont="1"/>
    <xf numFmtId="164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3" applyNumberFormat="1" applyFont="1"/>
    <xf numFmtId="43" fontId="0" fillId="0" borderId="0" xfId="0" applyNumberFormat="1"/>
    <xf numFmtId="168" fontId="0" fillId="0" borderId="0" xfId="4" applyNumberFormat="1" applyFont="1" applyAlignment="1">
      <alignment horizontal="center"/>
    </xf>
    <xf numFmtId="0" fontId="49" fillId="2" borderId="0" xfId="0" applyFont="1" applyFill="1"/>
    <xf numFmtId="164" fontId="4" fillId="0" borderId="0" xfId="4" applyFont="1" applyAlignment="1">
      <alignment horizontal="center"/>
    </xf>
    <xf numFmtId="168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4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9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13" borderId="1" xfId="4" applyFont="1" applyFill="1" applyBorder="1" applyAlignment="1" applyProtection="1">
      <alignment horizontal="center" vertical="center"/>
      <protection locked="0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3" fillId="3" borderId="4" xfId="4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17" fillId="0" borderId="0" xfId="4" applyNumberFormat="1" applyFont="1" applyAlignment="1">
      <alignment horizontal="center" vertical="center" wrapText="1"/>
    </xf>
    <xf numFmtId="49" fontId="0" fillId="0" borderId="0" xfId="0" applyNumberFormat="1"/>
    <xf numFmtId="164" fontId="27" fillId="14" borderId="43" xfId="4" applyFont="1" applyFill="1" applyBorder="1" applyAlignment="1">
      <alignment horizontal="center" vertical="center" wrapText="1"/>
    </xf>
    <xf numFmtId="49" fontId="0" fillId="0" borderId="0" xfId="4" applyNumberFormat="1" applyFont="1" applyFill="1" applyBorder="1"/>
    <xf numFmtId="49" fontId="0" fillId="0" borderId="0" xfId="4" applyNumberFormat="1" applyFont="1"/>
    <xf numFmtId="49" fontId="17" fillId="0" borderId="0" xfId="4" applyNumberFormat="1" applyFont="1"/>
    <xf numFmtId="0" fontId="50" fillId="0" borderId="0" xfId="13" applyFont="1"/>
    <xf numFmtId="166" fontId="18" fillId="0" borderId="0" xfId="3" applyNumberFormat="1" applyFont="1"/>
    <xf numFmtId="0" fontId="25" fillId="0" borderId="1" xfId="13" applyFont="1" applyBorder="1" applyAlignment="1">
      <alignment vertical="center" wrapText="1" readingOrder="1"/>
    </xf>
    <xf numFmtId="41" fontId="3" fillId="2" borderId="1" xfId="13" applyNumberFormat="1" applyFont="1" applyFill="1" applyBorder="1" applyAlignment="1">
      <alignment horizontal="center" vertical="center" wrapText="1"/>
    </xf>
    <xf numFmtId="172" fontId="3" fillId="2" borderId="1" xfId="15" applyNumberFormat="1" applyFont="1" applyFill="1" applyBorder="1" applyAlignment="1">
      <alignment horizontal="right" vertical="center" wrapText="1"/>
    </xf>
    <xf numFmtId="0" fontId="30" fillId="0" borderId="0" xfId="13" applyFont="1" applyAlignment="1">
      <alignment horizontal="left"/>
    </xf>
    <xf numFmtId="0" fontId="30" fillId="0" borderId="0" xfId="13" applyFont="1"/>
    <xf numFmtId="165" fontId="52" fillId="0" borderId="0" xfId="13" applyNumberFormat="1" applyFont="1" applyAlignment="1">
      <alignment horizontal="center" vertical="center"/>
    </xf>
    <xf numFmtId="0" fontId="52" fillId="0" borderId="0" xfId="13" applyFont="1" applyAlignment="1">
      <alignment horizontal="center" vertical="center"/>
    </xf>
    <xf numFmtId="165" fontId="30" fillId="0" borderId="0" xfId="13" applyNumberFormat="1" applyFont="1"/>
    <xf numFmtId="41" fontId="30" fillId="0" borderId="0" xfId="13" applyNumberFormat="1" applyFont="1"/>
    <xf numFmtId="164" fontId="3" fillId="2" borderId="1" xfId="4" applyFont="1" applyFill="1" applyBorder="1" applyAlignment="1">
      <alignment horizontal="center" vertical="center" wrapText="1"/>
    </xf>
    <xf numFmtId="164" fontId="30" fillId="0" borderId="0" xfId="4" applyFont="1"/>
    <xf numFmtId="164" fontId="52" fillId="0" borderId="0" xfId="4" applyFont="1" applyAlignment="1">
      <alignment horizontal="center" vertical="center"/>
    </xf>
    <xf numFmtId="164" fontId="25" fillId="0" borderId="0" xfId="4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3" applyFont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164" fontId="48" fillId="2" borderId="0" xfId="4" applyFont="1" applyFill="1" applyAlignment="1">
      <alignment vertical="center" wrapText="1"/>
    </xf>
    <xf numFmtId="0" fontId="4" fillId="2" borderId="0" xfId="0" applyFont="1" applyFill="1" applyProtection="1"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5" fillId="0" borderId="29" xfId="0" applyFont="1" applyBorder="1" applyAlignment="1" applyProtection="1">
      <alignment horizontal="center" wrapText="1"/>
      <protection locked="0"/>
    </xf>
    <xf numFmtId="0" fontId="25" fillId="0" borderId="29" xfId="0" applyFont="1" applyBorder="1" applyAlignment="1" applyProtection="1">
      <alignment horizontal="center" vertical="top" wrapText="1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1" fontId="25" fillId="2" borderId="1" xfId="3" applyNumberFormat="1" applyFont="1" applyFill="1" applyBorder="1" applyAlignment="1" applyProtection="1">
      <alignment horizontal="center" vertical="center"/>
      <protection locked="0"/>
    </xf>
    <xf numFmtId="1" fontId="2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1" fontId="25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4" applyNumberFormat="1" applyFont="1" applyBorder="1" applyAlignment="1" applyProtection="1">
      <alignment horizontal="center" vertical="center" wrapText="1"/>
      <protection locked="0"/>
    </xf>
    <xf numFmtId="0" fontId="25" fillId="8" borderId="1" xfId="5" applyFont="1" applyFill="1" applyBorder="1" applyAlignment="1" applyProtection="1">
      <alignment horizontal="center" wrapText="1"/>
      <protection locked="0"/>
    </xf>
    <xf numFmtId="0" fontId="25" fillId="8" borderId="1" xfId="5" applyFont="1" applyFill="1" applyBorder="1" applyAlignment="1" applyProtection="1">
      <alignment horizontal="center" vertical="top" wrapText="1"/>
      <protection locked="0"/>
    </xf>
    <xf numFmtId="0" fontId="25" fillId="2" borderId="1" xfId="5" applyFont="1" applyFill="1" applyBorder="1" applyAlignment="1" applyProtection="1">
      <alignment horizontal="center" wrapText="1"/>
      <protection locked="0"/>
    </xf>
    <xf numFmtId="0" fontId="25" fillId="2" borderId="1" xfId="5" applyFont="1" applyFill="1" applyBorder="1" applyAlignment="1" applyProtection="1">
      <alignment horizontal="center" vertical="top" wrapText="1"/>
      <protection locked="0"/>
    </xf>
    <xf numFmtId="3" fontId="25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7" fillId="11" borderId="3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164" fontId="4" fillId="3" borderId="1" xfId="4" applyFont="1" applyFill="1" applyBorder="1" applyAlignment="1" applyProtection="1">
      <alignment vertical="center" wrapText="1"/>
    </xf>
    <xf numFmtId="169" fontId="4" fillId="3" borderId="1" xfId="4" applyNumberFormat="1" applyFont="1" applyFill="1" applyBorder="1" applyAlignment="1" applyProtection="1">
      <alignment vertical="center" wrapText="1"/>
    </xf>
    <xf numFmtId="164" fontId="3" fillId="3" borderId="1" xfId="4" applyFont="1" applyFill="1" applyBorder="1" applyAlignment="1" applyProtection="1">
      <alignment vertical="center" wrapText="1"/>
    </xf>
    <xf numFmtId="169" fontId="3" fillId="3" borderId="1" xfId="4" applyNumberFormat="1" applyFont="1" applyFill="1" applyBorder="1" applyAlignment="1" applyProtection="1">
      <alignment vertical="center" wrapText="1"/>
    </xf>
    <xf numFmtId="164" fontId="3" fillId="3" borderId="1" xfId="4" applyFont="1" applyFill="1" applyBorder="1" applyAlignment="1" applyProtection="1">
      <alignment vertical="center"/>
    </xf>
    <xf numFmtId="164" fontId="3" fillId="2" borderId="1" xfId="4" applyFont="1" applyFill="1" applyBorder="1" applyAlignment="1" applyProtection="1">
      <alignment vertical="center" wrapText="1"/>
    </xf>
    <xf numFmtId="164" fontId="3" fillId="5" borderId="1" xfId="4" applyFont="1" applyFill="1" applyBorder="1" applyAlignment="1" applyProtection="1">
      <alignment vertical="center" wrapText="1"/>
    </xf>
    <xf numFmtId="169" fontId="3" fillId="5" borderId="1" xfId="4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5" borderId="1" xfId="4" applyFont="1" applyFill="1" applyBorder="1" applyAlignment="1" applyProtection="1">
      <alignment vertical="center" wrapText="1"/>
      <protection locked="0"/>
    </xf>
    <xf numFmtId="164" fontId="31" fillId="0" borderId="1" xfId="4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4" applyFont="1" applyAlignment="1" applyProtection="1">
      <alignment horizontal="center" vertical="center"/>
      <protection locked="0"/>
    </xf>
    <xf numFmtId="164" fontId="25" fillId="0" borderId="0" xfId="4" applyFont="1" applyAlignment="1" applyProtection="1">
      <alignment horizontal="center" vertical="center" wrapText="1"/>
      <protection locked="0"/>
    </xf>
    <xf numFmtId="164" fontId="24" fillId="2" borderId="0" xfId="4" applyFont="1" applyFill="1" applyBorder="1" applyAlignment="1" applyProtection="1">
      <alignment horizontal="left" vertical="center" wrapText="1"/>
    </xf>
    <xf numFmtId="0" fontId="5" fillId="2" borderId="0" xfId="0" applyFont="1" applyFill="1" applyProtection="1">
      <protection locked="0"/>
    </xf>
    <xf numFmtId="41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1" xfId="4" applyFont="1" applyFill="1" applyBorder="1" applyAlignment="1" applyProtection="1">
      <alignment horizontal="right" vertical="center" wrapText="1"/>
      <protection locked="0"/>
    </xf>
    <xf numFmtId="167" fontId="3" fillId="2" borderId="0" xfId="4" applyNumberFormat="1" applyFont="1" applyFill="1" applyBorder="1" applyAlignment="1" applyProtection="1">
      <alignment vertical="center" wrapText="1"/>
      <protection locked="0"/>
    </xf>
    <xf numFmtId="164" fontId="3" fillId="2" borderId="0" xfId="4" applyFont="1" applyFill="1" applyBorder="1" applyAlignment="1" applyProtection="1">
      <alignment horizontal="left" vertical="center" wrapText="1"/>
      <protection locked="0"/>
    </xf>
    <xf numFmtId="41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 wrapText="1" readingOrder="1"/>
      <protection locked="0"/>
    </xf>
    <xf numFmtId="0" fontId="3" fillId="2" borderId="0" xfId="0" applyFont="1" applyFill="1" applyAlignment="1" applyProtection="1">
      <alignment horizontal="center" vertical="center" textRotation="90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67" fontId="3" fillId="2" borderId="0" xfId="4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45" fillId="0" borderId="0" xfId="1" applyFont="1" applyFill="1" applyProtection="1">
      <protection locked="0"/>
    </xf>
    <xf numFmtId="164" fontId="46" fillId="2" borderId="0" xfId="0" applyNumberFormat="1" applyFont="1" applyFill="1" applyAlignment="1" applyProtection="1">
      <alignment horizontal="right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5" fillId="0" borderId="0" xfId="1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4" fontId="46" fillId="0" borderId="1" xfId="4" applyFont="1" applyFill="1" applyBorder="1" applyAlignment="1" applyProtection="1">
      <alignment horizontal="right" vertical="center" wrapText="1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4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6" fillId="3" borderId="1" xfId="4" applyFont="1" applyFill="1" applyBorder="1" applyAlignment="1" applyProtection="1">
      <alignment horizontal="right" vertical="center" wrapText="1"/>
    </xf>
    <xf numFmtId="164" fontId="46" fillId="4" borderId="1" xfId="4" applyFont="1" applyFill="1" applyBorder="1" applyAlignment="1" applyProtection="1">
      <alignment horizontal="right" vertical="center" wrapText="1"/>
    </xf>
    <xf numFmtId="169" fontId="46" fillId="4" borderId="1" xfId="4" applyNumberFormat="1" applyFont="1" applyFill="1" applyBorder="1" applyAlignment="1" applyProtection="1">
      <alignment horizontal="right" vertical="center" wrapText="1"/>
    </xf>
    <xf numFmtId="41" fontId="3" fillId="2" borderId="0" xfId="0" applyNumberFormat="1" applyFont="1" applyFill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169" fontId="3" fillId="3" borderId="1" xfId="4" applyNumberFormat="1" applyFont="1" applyFill="1" applyBorder="1" applyAlignment="1" applyProtection="1">
      <alignment horizontal="right" vertical="center" wrapText="1"/>
    </xf>
    <xf numFmtId="166" fontId="3" fillId="3" borderId="1" xfId="4" applyNumberFormat="1" applyFont="1" applyFill="1" applyBorder="1" applyAlignment="1" applyProtection="1">
      <alignment horizontal="right" vertical="center" wrapText="1"/>
    </xf>
    <xf numFmtId="166" fontId="3" fillId="3" borderId="1" xfId="3" applyNumberFormat="1" applyFont="1" applyFill="1" applyBorder="1" applyAlignment="1" applyProtection="1">
      <alignment horizontal="right" vertical="center" wrapText="1"/>
    </xf>
    <xf numFmtId="166" fontId="24" fillId="2" borderId="0" xfId="3" applyNumberFormat="1" applyFont="1" applyFill="1" applyBorder="1" applyAlignment="1" applyProtection="1">
      <alignment horizontal="right" vertical="center" wrapText="1"/>
    </xf>
    <xf numFmtId="169" fontId="3" fillId="2" borderId="1" xfId="4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4" fillId="2" borderId="0" xfId="0" applyFont="1" applyFill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 vertical="center" wrapText="1"/>
    </xf>
    <xf numFmtId="166" fontId="31" fillId="0" borderId="1" xfId="3" applyNumberFormat="1" applyFont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27" fillId="16" borderId="15" xfId="0" applyFont="1" applyFill="1" applyBorder="1" applyAlignment="1" applyProtection="1">
      <alignment horizontal="left" vertical="center" wrapText="1"/>
      <protection locked="0"/>
    </xf>
    <xf numFmtId="0" fontId="27" fillId="16" borderId="18" xfId="0" applyFont="1" applyFill="1" applyBorder="1" applyAlignment="1" applyProtection="1">
      <alignment horizontal="center" vertical="center" wrapText="1"/>
      <protection locked="0"/>
    </xf>
    <xf numFmtId="0" fontId="27" fillId="16" borderId="27" xfId="0" applyFont="1" applyFill="1" applyBorder="1" applyAlignment="1" applyProtection="1">
      <alignment horizontal="center" vertical="center" wrapText="1"/>
      <protection locked="0"/>
    </xf>
    <xf numFmtId="0" fontId="27" fillId="16" borderId="1" xfId="0" applyFont="1" applyFill="1" applyBorder="1" applyAlignment="1" applyProtection="1">
      <alignment horizontal="left" vertical="center" wrapText="1"/>
      <protection locked="0"/>
    </xf>
    <xf numFmtId="0" fontId="27" fillId="16" borderId="1" xfId="0" applyFont="1" applyFill="1" applyBorder="1" applyAlignment="1" applyProtection="1">
      <alignment horizontal="center" vertical="center" wrapText="1"/>
      <protection locked="0"/>
    </xf>
    <xf numFmtId="164" fontId="27" fillId="16" borderId="9" xfId="4" applyFont="1" applyFill="1" applyBorder="1" applyAlignment="1" applyProtection="1">
      <alignment vertical="center" wrapText="1"/>
    </xf>
    <xf numFmtId="41" fontId="24" fillId="16" borderId="1" xfId="0" applyNumberFormat="1" applyFont="1" applyFill="1" applyBorder="1" applyAlignment="1">
      <alignment vertical="center" wrapText="1"/>
    </xf>
    <xf numFmtId="165" fontId="24" fillId="16" borderId="1" xfId="0" applyNumberFormat="1" applyFont="1" applyFill="1" applyBorder="1" applyAlignment="1">
      <alignment vertical="center" wrapText="1"/>
    </xf>
    <xf numFmtId="164" fontId="24" fillId="16" borderId="1" xfId="4" applyFont="1" applyFill="1" applyBorder="1" applyAlignment="1" applyProtection="1">
      <alignment vertical="center" wrapText="1"/>
    </xf>
    <xf numFmtId="169" fontId="24" fillId="16" borderId="1" xfId="4" applyNumberFormat="1" applyFont="1" applyFill="1" applyBorder="1" applyAlignment="1" applyProtection="1">
      <alignment vertical="center" wrapText="1"/>
    </xf>
    <xf numFmtId="0" fontId="35" fillId="16" borderId="1" xfId="0" applyFont="1" applyFill="1" applyBorder="1" applyAlignment="1">
      <alignment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vertical="center"/>
    </xf>
    <xf numFmtId="164" fontId="35" fillId="16" borderId="1" xfId="4" applyFont="1" applyFill="1" applyBorder="1" applyAlignment="1" applyProtection="1">
      <alignment vertical="center"/>
    </xf>
    <xf numFmtId="0" fontId="35" fillId="16" borderId="1" xfId="0" applyFont="1" applyFill="1" applyBorder="1" applyAlignment="1">
      <alignment horizontal="left" vertical="center" wrapText="1"/>
    </xf>
    <xf numFmtId="164" fontId="35" fillId="16" borderId="1" xfId="4" applyFont="1" applyFill="1" applyBorder="1" applyAlignment="1" applyProtection="1">
      <alignment horizontal="center" vertical="center" wrapText="1"/>
    </xf>
    <xf numFmtId="0" fontId="35" fillId="16" borderId="1" xfId="0" applyFont="1" applyFill="1" applyBorder="1" applyAlignment="1" applyProtection="1">
      <alignment horizontal="center" vertical="center" wrapText="1"/>
      <protection locked="0"/>
    </xf>
    <xf numFmtId="164" fontId="27" fillId="16" borderId="1" xfId="4" applyFont="1" applyFill="1" applyBorder="1" applyAlignment="1" applyProtection="1">
      <alignment horizontal="left" vertical="center" wrapText="1"/>
    </xf>
    <xf numFmtId="169" fontId="27" fillId="16" borderId="1" xfId="4" applyNumberFormat="1" applyFont="1" applyFill="1" applyBorder="1" applyAlignment="1" applyProtection="1">
      <alignment horizontal="left" vertical="center" wrapText="1"/>
    </xf>
    <xf numFmtId="0" fontId="24" fillId="17" borderId="0" xfId="0" applyFont="1" applyFill="1" applyAlignment="1" applyProtection="1">
      <alignment vertical="center"/>
      <protection locked="0"/>
    </xf>
    <xf numFmtId="0" fontId="25" fillId="17" borderId="0" xfId="0" applyFont="1" applyFill="1" applyAlignment="1" applyProtection="1">
      <alignment vertical="center"/>
      <protection locked="0"/>
    </xf>
    <xf numFmtId="0" fontId="25" fillId="17" borderId="0" xfId="1" applyFont="1" applyFill="1" applyAlignment="1" applyProtection="1">
      <alignment vertical="center"/>
      <protection locked="0"/>
    </xf>
    <xf numFmtId="0" fontId="15" fillId="17" borderId="0" xfId="2" applyFont="1" applyFill="1" applyAlignment="1" applyProtection="1">
      <alignment vertical="center"/>
      <protection locked="0"/>
    </xf>
    <xf numFmtId="0" fontId="15" fillId="17" borderId="0" xfId="0" applyFont="1" applyFill="1" applyAlignment="1" applyProtection="1">
      <alignment vertical="center"/>
      <protection locked="0"/>
    </xf>
    <xf numFmtId="0" fontId="29" fillId="16" borderId="1" xfId="0" applyFont="1" applyFill="1" applyBorder="1" applyAlignment="1" applyProtection="1">
      <alignment horizontal="center" vertical="center" wrapText="1"/>
      <protection locked="0"/>
    </xf>
    <xf numFmtId="164" fontId="32" fillId="16" borderId="1" xfId="4" applyFont="1" applyFill="1" applyBorder="1" applyAlignment="1" applyProtection="1">
      <alignment horizontal="right" vertical="center" wrapText="1"/>
    </xf>
    <xf numFmtId="164" fontId="27" fillId="16" borderId="1" xfId="4" applyFont="1" applyFill="1" applyBorder="1" applyAlignment="1" applyProtection="1">
      <alignment horizontal="right" vertical="center" wrapText="1"/>
    </xf>
    <xf numFmtId="169" fontId="27" fillId="16" borderId="1" xfId="4" applyNumberFormat="1" applyFont="1" applyFill="1" applyBorder="1" applyAlignment="1" applyProtection="1">
      <alignment horizontal="right" vertical="center" wrapText="1"/>
    </xf>
    <xf numFmtId="0" fontId="27" fillId="16" borderId="50" xfId="13" applyFont="1" applyFill="1" applyBorder="1" applyAlignment="1">
      <alignment horizontal="center" vertical="center" wrapText="1"/>
    </xf>
    <xf numFmtId="164" fontId="27" fillId="16" borderId="50" xfId="4" applyFont="1" applyFill="1" applyBorder="1" applyAlignment="1">
      <alignment horizontal="center" vertical="center" wrapText="1"/>
    </xf>
    <xf numFmtId="0" fontId="32" fillId="16" borderId="0" xfId="13" applyFont="1" applyFill="1" applyAlignment="1">
      <alignment horizontal="center" vertical="center"/>
    </xf>
    <xf numFmtId="164" fontId="27" fillId="16" borderId="1" xfId="4" applyFont="1" applyFill="1" applyBorder="1" applyAlignment="1">
      <alignment horizontal="center"/>
    </xf>
    <xf numFmtId="41" fontId="27" fillId="16" borderId="1" xfId="13" applyNumberFormat="1" applyFont="1" applyFill="1" applyBorder="1" applyAlignment="1">
      <alignment horizontal="center"/>
    </xf>
    <xf numFmtId="0" fontId="32" fillId="16" borderId="4" xfId="0" applyFont="1" applyFill="1" applyBorder="1" applyAlignment="1" applyProtection="1">
      <alignment horizontal="center" vertical="center" wrapText="1"/>
      <protection locked="0"/>
    </xf>
    <xf numFmtId="164" fontId="31" fillId="5" borderId="1" xfId="4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Protection="1">
      <protection locked="0"/>
    </xf>
    <xf numFmtId="0" fontId="51" fillId="2" borderId="1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41" fontId="3" fillId="19" borderId="1" xfId="0" applyNumberFormat="1" applyFont="1" applyFill="1" applyBorder="1" applyAlignment="1">
      <alignment horizontal="center" vertical="center" wrapText="1"/>
    </xf>
    <xf numFmtId="41" fontId="3" fillId="18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4" applyFont="1" applyFill="1" applyBorder="1" applyAlignment="1" applyProtection="1">
      <alignment horizontal="right" vertical="center" wrapText="1"/>
    </xf>
    <xf numFmtId="164" fontId="3" fillId="2" borderId="1" xfId="4" applyFont="1" applyFill="1" applyBorder="1" applyAlignment="1" applyProtection="1">
      <alignment horizontal="left" vertical="center" wrapText="1"/>
    </xf>
    <xf numFmtId="169" fontId="3" fillId="20" borderId="1" xfId="4" applyNumberFormat="1" applyFont="1" applyFill="1" applyBorder="1" applyAlignment="1" applyProtection="1">
      <alignment horizontal="left" vertical="center" wrapText="1"/>
    </xf>
    <xf numFmtId="165" fontId="27" fillId="16" borderId="1" xfId="0" applyNumberFormat="1" applyFont="1" applyFill="1" applyBorder="1" applyAlignment="1">
      <alignment horizontal="center" vertical="center" wrapText="1"/>
    </xf>
    <xf numFmtId="41" fontId="27" fillId="16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7" fillId="16" borderId="1" xfId="0" applyFont="1" applyFill="1" applyBorder="1" applyAlignment="1">
      <alignment horizontal="center" vertical="center" wrapText="1"/>
    </xf>
    <xf numFmtId="43" fontId="4" fillId="2" borderId="0" xfId="0" applyNumberFormat="1" applyFont="1" applyFill="1" applyAlignment="1" applyProtection="1">
      <alignment vertical="center" wrapText="1"/>
      <protection locked="0"/>
    </xf>
    <xf numFmtId="0" fontId="46" fillId="3" borderId="1" xfId="0" applyFont="1" applyFill="1" applyBorder="1" applyAlignment="1">
      <alignment horizontal="center" vertical="center" wrapText="1"/>
    </xf>
    <xf numFmtId="168" fontId="0" fillId="0" borderId="0" xfId="16" applyNumberFormat="1" applyFont="1" applyFill="1" applyBorder="1"/>
    <xf numFmtId="164" fontId="0" fillId="0" borderId="0" xfId="16" applyFont="1" applyFill="1" applyBorder="1"/>
    <xf numFmtId="0" fontId="1" fillId="0" borderId="0" xfId="17"/>
    <xf numFmtId="168" fontId="0" fillId="0" borderId="0" xfId="16" applyNumberFormat="1" applyFont="1" applyAlignment="1">
      <alignment horizontal="center"/>
    </xf>
    <xf numFmtId="169" fontId="0" fillId="0" borderId="0" xfId="16" applyNumberFormat="1" applyFont="1" applyAlignment="1">
      <alignment horizontal="center"/>
    </xf>
    <xf numFmtId="164" fontId="0" fillId="0" borderId="0" xfId="16" applyFont="1" applyAlignment="1">
      <alignment horizontal="center"/>
    </xf>
    <xf numFmtId="164" fontId="17" fillId="0" borderId="0" xfId="16" applyFont="1" applyFill="1" applyBorder="1"/>
    <xf numFmtId="164" fontId="0" fillId="0" borderId="0" xfId="16" applyFont="1"/>
    <xf numFmtId="164" fontId="49" fillId="0" borderId="0" xfId="16" applyFont="1"/>
    <xf numFmtId="164" fontId="0" fillId="5" borderId="0" xfId="16" applyFont="1" applyFill="1"/>
    <xf numFmtId="0" fontId="23" fillId="12" borderId="37" xfId="0" applyFont="1" applyFill="1" applyBorder="1" applyAlignment="1">
      <alignment horizontal="center" vertical="center"/>
    </xf>
    <xf numFmtId="49" fontId="1" fillId="0" borderId="0" xfId="17" applyNumberFormat="1"/>
    <xf numFmtId="168" fontId="23" fillId="12" borderId="39" xfId="4" applyNumberFormat="1" applyFont="1" applyFill="1" applyBorder="1" applyAlignment="1">
      <alignment horizontal="center" vertical="center" wrapText="1"/>
    </xf>
    <xf numFmtId="169" fontId="23" fillId="12" borderId="37" xfId="4" applyNumberFormat="1" applyFont="1" applyFill="1" applyBorder="1" applyAlignment="1">
      <alignment horizontal="center" vertical="center" wrapText="1"/>
    </xf>
    <xf numFmtId="168" fontId="23" fillId="12" borderId="37" xfId="4" applyNumberFormat="1" applyFont="1" applyFill="1" applyBorder="1" applyAlignment="1">
      <alignment horizontal="center" vertical="center" wrapText="1"/>
    </xf>
    <xf numFmtId="168" fontId="23" fillId="12" borderId="40" xfId="4" applyNumberFormat="1" applyFont="1" applyFill="1" applyBorder="1" applyAlignment="1">
      <alignment horizontal="center" vertical="center" wrapText="1"/>
    </xf>
    <xf numFmtId="164" fontId="23" fillId="12" borderId="41" xfId="4" applyFont="1" applyFill="1" applyBorder="1" applyAlignment="1">
      <alignment horizontal="center" vertical="center" wrapText="1"/>
    </xf>
    <xf numFmtId="49" fontId="23" fillId="12" borderId="42" xfId="4" applyNumberFormat="1" applyFont="1" applyFill="1" applyBorder="1" applyAlignment="1">
      <alignment horizontal="center" vertical="center" wrapText="1"/>
    </xf>
    <xf numFmtId="49" fontId="23" fillId="12" borderId="37" xfId="4" applyNumberFormat="1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168" fontId="23" fillId="12" borderId="39" xfId="4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1" fontId="25" fillId="22" borderId="1" xfId="3" applyNumberFormat="1" applyFont="1" applyFill="1" applyBorder="1" applyAlignment="1" applyProtection="1">
      <alignment horizontal="center" vertical="center"/>
      <protection locked="0"/>
    </xf>
    <xf numFmtId="1" fontId="25" fillId="22" borderId="1" xfId="4" applyNumberFormat="1" applyFont="1" applyFill="1" applyBorder="1" applyAlignment="1" applyProtection="1">
      <alignment horizontal="center" vertical="center" wrapText="1"/>
      <protection locked="0"/>
    </xf>
    <xf numFmtId="3" fontId="25" fillId="22" borderId="1" xfId="4" applyNumberFormat="1" applyFont="1" applyFill="1" applyBorder="1" applyAlignment="1" applyProtection="1">
      <alignment horizontal="center" vertical="center" wrapText="1"/>
      <protection locked="0"/>
    </xf>
    <xf numFmtId="169" fontId="35" fillId="16" borderId="1" xfId="4" applyNumberFormat="1" applyFont="1" applyFill="1" applyBorder="1" applyAlignment="1" applyProtection="1">
      <alignment vertical="center"/>
    </xf>
    <xf numFmtId="164" fontId="4" fillId="0" borderId="0" xfId="4" applyFont="1" applyAlignment="1" applyProtection="1">
      <alignment vertical="center"/>
      <protection locked="0"/>
    </xf>
    <xf numFmtId="3" fontId="4" fillId="22" borderId="1" xfId="4" applyNumberFormat="1" applyFont="1" applyFill="1" applyBorder="1" applyAlignment="1" applyProtection="1">
      <alignment horizontal="center" vertical="center" wrapText="1"/>
      <protection locked="0"/>
    </xf>
    <xf numFmtId="1" fontId="4" fillId="22" borderId="1" xfId="4" applyNumberFormat="1" applyFont="1" applyFill="1" applyBorder="1" applyAlignment="1" applyProtection="1">
      <alignment horizontal="center" vertical="center" wrapText="1"/>
      <protection locked="0"/>
    </xf>
    <xf numFmtId="1" fontId="25" fillId="22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Alignment="1" applyProtection="1">
      <alignment vertical="center" wrapText="1"/>
      <protection locked="0"/>
    </xf>
    <xf numFmtId="173" fontId="4" fillId="2" borderId="0" xfId="0" applyNumberFormat="1" applyFont="1" applyFill="1" applyAlignment="1" applyProtection="1">
      <alignment vertical="center" wrapText="1"/>
      <protection locked="0"/>
    </xf>
    <xf numFmtId="4" fontId="4" fillId="22" borderId="0" xfId="0" applyNumberFormat="1" applyFont="1" applyFill="1" applyAlignment="1" applyProtection="1">
      <alignment vertical="center" wrapText="1"/>
      <protection locked="0"/>
    </xf>
    <xf numFmtId="4" fontId="25" fillId="0" borderId="0" xfId="0" applyNumberFormat="1" applyFont="1" applyAlignment="1" applyProtection="1">
      <alignment horizontal="center" vertical="center"/>
      <protection locked="0"/>
    </xf>
    <xf numFmtId="4" fontId="25" fillId="0" borderId="0" xfId="0" applyNumberFormat="1" applyFont="1" applyAlignment="1" applyProtection="1">
      <alignment horizontal="center" vertical="center" wrapText="1"/>
      <protection locked="0"/>
    </xf>
    <xf numFmtId="4" fontId="25" fillId="22" borderId="0" xfId="0" applyNumberFormat="1" applyFont="1" applyFill="1" applyAlignment="1" applyProtection="1">
      <alignment horizontal="center" vertical="center"/>
      <protection locked="0"/>
    </xf>
    <xf numFmtId="164" fontId="25" fillId="22" borderId="0" xfId="4" applyFont="1" applyFill="1" applyAlignment="1" applyProtection="1">
      <alignment horizontal="center" vertical="center"/>
      <protection locked="0"/>
    </xf>
    <xf numFmtId="17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4" applyFont="1" applyAlignment="1" applyProtection="1">
      <alignment horizontal="center"/>
      <protection locked="0"/>
    </xf>
    <xf numFmtId="164" fontId="4" fillId="0" borderId="1" xfId="4" applyFont="1" applyFill="1" applyBorder="1" applyAlignment="1" applyProtection="1">
      <alignment vertical="center" wrapText="1"/>
      <protection locked="0"/>
    </xf>
    <xf numFmtId="164" fontId="24" fillId="2" borderId="0" xfId="4" applyFont="1" applyFill="1" applyAlignment="1" applyProtection="1">
      <alignment horizontal="left" wrapText="1"/>
      <protection locked="0"/>
    </xf>
    <xf numFmtId="164" fontId="3" fillId="0" borderId="19" xfId="4" applyFont="1" applyBorder="1" applyAlignment="1">
      <alignment horizontal="center" vertical="center" wrapText="1"/>
    </xf>
    <xf numFmtId="164" fontId="4" fillId="0" borderId="0" xfId="4" applyFont="1" applyAlignment="1" applyProtection="1">
      <alignment vertical="center" wrapText="1"/>
      <protection locked="0"/>
    </xf>
    <xf numFmtId="164" fontId="4" fillId="0" borderId="0" xfId="4" applyFont="1" applyAlignment="1" applyProtection="1">
      <alignment wrapText="1"/>
      <protection locked="0"/>
    </xf>
    <xf numFmtId="164" fontId="25" fillId="24" borderId="0" xfId="4" applyFont="1" applyFill="1" applyAlignment="1" applyProtection="1">
      <alignment horizontal="center" vertical="center"/>
      <protection locked="0"/>
    </xf>
    <xf numFmtId="164" fontId="31" fillId="23" borderId="1" xfId="4" applyFont="1" applyFill="1" applyBorder="1" applyAlignment="1" applyProtection="1">
      <alignment horizontal="right" vertical="center" wrapText="1"/>
    </xf>
    <xf numFmtId="164" fontId="24" fillId="22" borderId="0" xfId="4" applyFont="1" applyFill="1" applyBorder="1" applyAlignment="1" applyProtection="1">
      <alignment horizontal="left" vertical="center" wrapText="1"/>
    </xf>
    <xf numFmtId="166" fontId="24" fillId="22" borderId="0" xfId="3" applyNumberFormat="1" applyFont="1" applyFill="1" applyBorder="1" applyAlignment="1" applyProtection="1">
      <alignment horizontal="right" vertical="center" wrapText="1"/>
    </xf>
    <xf numFmtId="164" fontId="24" fillId="22" borderId="0" xfId="0" applyNumberFormat="1" applyFont="1" applyFill="1" applyAlignment="1">
      <alignment horizontal="right" vertical="center" wrapText="1"/>
    </xf>
    <xf numFmtId="164" fontId="4" fillId="22" borderId="1" xfId="4" applyFont="1" applyFill="1" applyBorder="1" applyAlignment="1" applyProtection="1">
      <alignment vertical="center" wrapText="1"/>
      <protection locked="0"/>
    </xf>
    <xf numFmtId="164" fontId="46" fillId="21" borderId="1" xfId="4" applyFont="1" applyFill="1" applyBorder="1" applyAlignment="1" applyProtection="1">
      <alignment horizontal="right" vertical="center" wrapText="1"/>
      <protection locked="0"/>
    </xf>
    <xf numFmtId="43" fontId="3" fillId="2" borderId="0" xfId="0" applyNumberFormat="1" applyFont="1" applyFill="1" applyAlignment="1" applyProtection="1">
      <alignment vertical="center"/>
      <protection locked="0"/>
    </xf>
    <xf numFmtId="164" fontId="46" fillId="22" borderId="1" xfId="4" applyFont="1" applyFill="1" applyBorder="1" applyAlignment="1" applyProtection="1">
      <alignment horizontal="right" vertical="center" wrapText="1"/>
      <protection locked="0"/>
    </xf>
    <xf numFmtId="4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46" fillId="2" borderId="1" xfId="4" applyFont="1" applyFill="1" applyBorder="1" applyAlignment="1" applyProtection="1">
      <alignment horizontal="right" vertical="center" wrapText="1"/>
      <protection locked="0"/>
    </xf>
    <xf numFmtId="0" fontId="3" fillId="17" borderId="5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0" xfId="0" applyFont="1" applyFill="1" applyAlignment="1">
      <alignment horizontal="center" vertical="center"/>
    </xf>
    <xf numFmtId="0" fontId="25" fillId="17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25" fillId="22" borderId="1" xfId="3" applyNumberFormat="1" applyFont="1" applyFill="1" applyBorder="1" applyAlignment="1" applyProtection="1">
      <alignment horizontal="center" vertical="center" wrapText="1"/>
      <protection locked="0"/>
    </xf>
    <xf numFmtId="2" fontId="4" fillId="22" borderId="1" xfId="3" applyNumberFormat="1" applyFont="1" applyFill="1" applyBorder="1" applyAlignment="1" applyProtection="1">
      <alignment horizontal="center" vertical="center" wrapText="1"/>
      <protection locked="0"/>
    </xf>
    <xf numFmtId="166" fontId="25" fillId="22" borderId="1" xfId="3" applyNumberFormat="1" applyFont="1" applyFill="1" applyBorder="1" applyAlignment="1" applyProtection="1">
      <alignment horizontal="center" vertical="center" wrapText="1"/>
      <protection locked="0"/>
    </xf>
    <xf numFmtId="166" fontId="4" fillId="22" borderId="1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7" fillId="16" borderId="51" xfId="0" applyFont="1" applyFill="1" applyBorder="1" applyAlignment="1" applyProtection="1">
      <alignment horizontal="center" vertical="center" wrapText="1"/>
      <protection locked="0"/>
    </xf>
    <xf numFmtId="0" fontId="27" fillId="16" borderId="52" xfId="0" applyFont="1" applyFill="1" applyBorder="1" applyAlignment="1" applyProtection="1">
      <alignment horizontal="center" vertical="center" wrapText="1"/>
      <protection locked="0"/>
    </xf>
    <xf numFmtId="4" fontId="4" fillId="22" borderId="1" xfId="3" applyNumberFormat="1" applyFont="1" applyFill="1" applyBorder="1" applyAlignment="1" applyProtection="1">
      <alignment horizontal="center" vertical="center" wrapText="1"/>
      <protection locked="0"/>
    </xf>
    <xf numFmtId="8" fontId="25" fillId="22" borderId="1" xfId="3" applyNumberFormat="1" applyFont="1" applyFill="1" applyBorder="1" applyAlignment="1" applyProtection="1">
      <alignment horizontal="center" vertical="center" wrapText="1"/>
      <protection locked="0"/>
    </xf>
    <xf numFmtId="170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7" fillId="16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left" vertical="center"/>
      <protection locked="0"/>
    </xf>
    <xf numFmtId="0" fontId="27" fillId="16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7" fillId="16" borderId="24" xfId="0" applyFont="1" applyFill="1" applyBorder="1" applyAlignment="1" applyProtection="1">
      <alignment horizontal="left" vertical="center" wrapText="1"/>
      <protection locked="0"/>
    </xf>
    <xf numFmtId="0" fontId="27" fillId="16" borderId="25" xfId="0" applyFont="1" applyFill="1" applyBorder="1" applyAlignment="1" applyProtection="1">
      <alignment horizontal="left" vertical="center" wrapText="1"/>
      <protection locked="0"/>
    </xf>
    <xf numFmtId="0" fontId="27" fillId="16" borderId="35" xfId="0" applyFont="1" applyFill="1" applyBorder="1" applyAlignment="1" applyProtection="1">
      <alignment horizontal="left" vertical="center" wrapText="1"/>
      <protection locked="0"/>
    </xf>
    <xf numFmtId="0" fontId="27" fillId="16" borderId="26" xfId="0" applyFont="1" applyFill="1" applyBorder="1" applyAlignment="1" applyProtection="1">
      <alignment horizontal="left" vertical="center" wrapText="1"/>
      <protection locked="0"/>
    </xf>
    <xf numFmtId="0" fontId="27" fillId="16" borderId="18" xfId="0" applyFont="1" applyFill="1" applyBorder="1" applyAlignment="1" applyProtection="1">
      <alignment horizontal="center" vertical="center" wrapText="1"/>
      <protection locked="0"/>
    </xf>
    <xf numFmtId="0" fontId="27" fillId="16" borderId="20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32" xfId="0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166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wrapText="1"/>
      <protection locked="0"/>
    </xf>
    <xf numFmtId="2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top" wrapText="1"/>
      <protection locked="0"/>
    </xf>
    <xf numFmtId="0" fontId="25" fillId="0" borderId="3" xfId="0" applyFont="1" applyBorder="1" applyAlignment="1" applyProtection="1">
      <alignment horizontal="center" vertical="top" wrapText="1"/>
      <protection locked="0"/>
    </xf>
    <xf numFmtId="2" fontId="25" fillId="0" borderId="1" xfId="3" applyNumberFormat="1" applyFont="1" applyBorder="1" applyAlignment="1" applyProtection="1">
      <alignment horizontal="center" vertical="center" wrapText="1"/>
      <protection locked="0"/>
    </xf>
    <xf numFmtId="166" fontId="25" fillId="0" borderId="1" xfId="3" applyNumberFormat="1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17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170" fontId="25" fillId="0" borderId="1" xfId="3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5" fillId="8" borderId="1" xfId="5" applyFont="1" applyFill="1" applyBorder="1" applyAlignment="1" applyProtection="1">
      <alignment horizontal="left" vertical="center" wrapText="1"/>
      <protection locked="0"/>
    </xf>
    <xf numFmtId="0" fontId="25" fillId="2" borderId="1" xfId="5" applyFont="1" applyFill="1" applyBorder="1" applyAlignment="1" applyProtection="1">
      <alignment horizontal="left" vertical="center" wrapText="1"/>
      <protection locked="0"/>
    </xf>
    <xf numFmtId="0" fontId="24" fillId="17" borderId="5" xfId="0" applyFont="1" applyFill="1" applyBorder="1" applyAlignment="1" applyProtection="1">
      <alignment horizontal="left" vertical="center" wrapText="1"/>
      <protection locked="0"/>
    </xf>
    <xf numFmtId="0" fontId="24" fillId="17" borderId="0" xfId="0" applyFont="1" applyFill="1" applyAlignment="1" applyProtection="1">
      <alignment horizontal="left" vertical="center" wrapText="1"/>
      <protection locked="0"/>
    </xf>
    <xf numFmtId="0" fontId="27" fillId="16" borderId="1" xfId="0" applyFont="1" applyFill="1" applyBorder="1" applyAlignment="1" applyProtection="1">
      <alignment horizontal="left" vertical="center"/>
      <protection locked="0"/>
    </xf>
    <xf numFmtId="0" fontId="24" fillId="17" borderId="19" xfId="0" applyFont="1" applyFill="1" applyBorder="1" applyAlignment="1" applyProtection="1">
      <alignment horizontal="left" vertical="center" wrapText="1"/>
      <protection locked="0"/>
    </xf>
    <xf numFmtId="0" fontId="27" fillId="16" borderId="50" xfId="0" applyFont="1" applyFill="1" applyBorder="1" applyAlignment="1">
      <alignment horizontal="center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0" fontId="27" fillId="16" borderId="50" xfId="0" applyFont="1" applyFill="1" applyBorder="1" applyAlignment="1" applyProtection="1">
      <alignment horizontal="left" vertical="center" wrapText="1"/>
      <protection locked="0"/>
    </xf>
    <xf numFmtId="164" fontId="27" fillId="16" borderId="50" xfId="4" applyFont="1" applyFill="1" applyBorder="1" applyAlignment="1">
      <alignment horizontal="center" vertical="center" wrapText="1"/>
    </xf>
    <xf numFmtId="164" fontId="27" fillId="16" borderId="4" xfId="4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27" fillId="16" borderId="21" xfId="0" applyFont="1" applyFill="1" applyBorder="1" applyAlignment="1">
      <alignment horizontal="right" vertical="center" wrapText="1"/>
    </xf>
    <xf numFmtId="0" fontId="27" fillId="16" borderId="22" xfId="0" applyFont="1" applyFill="1" applyBorder="1" applyAlignment="1">
      <alignment horizontal="right" vertical="center" wrapText="1"/>
    </xf>
    <xf numFmtId="0" fontId="27" fillId="16" borderId="23" xfId="0" applyFont="1" applyFill="1" applyBorder="1" applyAlignment="1">
      <alignment horizontal="right" vertical="center" wrapText="1"/>
    </xf>
    <xf numFmtId="0" fontId="27" fillId="16" borderId="11" xfId="0" applyFont="1" applyFill="1" applyBorder="1" applyAlignment="1" applyProtection="1">
      <alignment horizontal="left" vertical="center" wrapText="1"/>
      <protection locked="0"/>
    </xf>
    <xf numFmtId="0" fontId="27" fillId="16" borderId="8" xfId="0" applyFont="1" applyFill="1" applyBorder="1" applyAlignment="1" applyProtection="1">
      <alignment horizontal="left" vertical="center" wrapText="1"/>
      <protection locked="0"/>
    </xf>
    <xf numFmtId="0" fontId="27" fillId="16" borderId="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35" fillId="16" borderId="11" xfId="0" applyFont="1" applyFill="1" applyBorder="1" applyAlignment="1">
      <alignment horizontal="center" vertical="center" wrapText="1"/>
    </xf>
    <xf numFmtId="0" fontId="35" fillId="16" borderId="8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 applyProtection="1">
      <alignment horizontal="left" vertical="center"/>
      <protection locked="0"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0" xfId="0" applyFont="1" applyFill="1" applyAlignment="1">
      <alignment horizontal="center" vertical="center" wrapText="1"/>
    </xf>
    <xf numFmtId="0" fontId="36" fillId="10" borderId="17" xfId="0" applyFont="1" applyFill="1" applyBorder="1" applyAlignment="1" applyProtection="1">
      <alignment horizontal="left" vertical="center" wrapText="1"/>
      <protection locked="0"/>
    </xf>
    <xf numFmtId="0" fontId="36" fillId="10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27" fillId="16" borderId="11" xfId="0" applyFont="1" applyFill="1" applyBorder="1" applyAlignment="1" applyProtection="1">
      <alignment horizontal="left" vertical="center"/>
      <protection locked="0"/>
    </xf>
    <xf numFmtId="0" fontId="27" fillId="16" borderId="8" xfId="0" applyFont="1" applyFill="1" applyBorder="1" applyAlignment="1" applyProtection="1">
      <alignment horizontal="left" vertical="center"/>
      <protection locked="0"/>
    </xf>
    <xf numFmtId="0" fontId="27" fillId="16" borderId="3" xfId="0" applyFont="1" applyFill="1" applyBorder="1" applyAlignment="1" applyProtection="1">
      <alignment horizontal="left" vertical="center"/>
      <protection locked="0"/>
    </xf>
    <xf numFmtId="41" fontId="27" fillId="16" borderId="50" xfId="0" applyNumberFormat="1" applyFont="1" applyFill="1" applyBorder="1" applyAlignment="1">
      <alignment horizontal="center" vertical="center" wrapText="1"/>
    </xf>
    <xf numFmtId="41" fontId="27" fillId="16" borderId="4" xfId="0" applyNumberFormat="1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27" fillId="16" borderId="2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4" fillId="17" borderId="19" xfId="0" applyFont="1" applyFill="1" applyBorder="1" applyAlignment="1" applyProtection="1">
      <alignment horizontal="justify" vertical="center" wrapText="1"/>
      <protection locked="0"/>
    </xf>
    <xf numFmtId="0" fontId="24" fillId="17" borderId="0" xfId="0" applyFont="1" applyFill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165" fontId="27" fillId="16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27" fillId="16" borderId="1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horizontal="center" vertical="center" wrapText="1"/>
    </xf>
    <xf numFmtId="0" fontId="24" fillId="19" borderId="50" xfId="0" applyFont="1" applyFill="1" applyBorder="1" applyAlignment="1" applyProtection="1">
      <alignment horizontal="center" vertical="center" wrapText="1"/>
      <protection locked="0"/>
    </xf>
    <xf numFmtId="0" fontId="24" fillId="19" borderId="4" xfId="0" applyFont="1" applyFill="1" applyBorder="1" applyAlignment="1" applyProtection="1">
      <alignment horizontal="center" vertical="center" wrapText="1"/>
      <protection locked="0"/>
    </xf>
    <xf numFmtId="41" fontId="27" fillId="16" borderId="1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17" borderId="19" xfId="0" applyFont="1" applyFill="1" applyBorder="1" applyAlignment="1" applyProtection="1">
      <alignment horizontal="left" vertical="center"/>
      <protection locked="0"/>
    </xf>
    <xf numFmtId="0" fontId="3" fillId="17" borderId="0" xfId="0" applyFont="1" applyFill="1" applyAlignment="1" applyProtection="1">
      <alignment horizontal="left" vertical="center"/>
      <protection locked="0"/>
    </xf>
    <xf numFmtId="0" fontId="27" fillId="16" borderId="3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left" vertical="center" wrapText="1"/>
    </xf>
    <xf numFmtId="41" fontId="27" fillId="16" borderId="1" xfId="0" applyNumberFormat="1" applyFont="1" applyFill="1" applyBorder="1" applyAlignment="1">
      <alignment horizontal="left" vertical="center" wrapText="1"/>
    </xf>
    <xf numFmtId="0" fontId="29" fillId="16" borderId="2" xfId="0" applyFont="1" applyFill="1" applyBorder="1" applyAlignment="1" applyProtection="1">
      <alignment horizontal="center" vertical="center" wrapText="1"/>
      <protection locked="0"/>
    </xf>
    <xf numFmtId="0" fontId="29" fillId="16" borderId="4" xfId="0" applyFont="1" applyFill="1" applyBorder="1" applyAlignment="1" applyProtection="1">
      <alignment horizontal="center" vertical="center" wrapText="1"/>
      <protection locked="0"/>
    </xf>
    <xf numFmtId="164" fontId="29" fillId="16" borderId="1" xfId="4" applyFont="1" applyFill="1" applyBorder="1" applyAlignment="1" applyProtection="1">
      <alignment horizontal="center" vertical="center" wrapText="1"/>
      <protection locked="0"/>
    </xf>
    <xf numFmtId="0" fontId="29" fillId="16" borderId="1" xfId="0" applyFont="1" applyFill="1" applyBorder="1" applyAlignment="1" applyProtection="1">
      <alignment horizontal="center" vertical="center" wrapText="1"/>
      <protection locked="0"/>
    </xf>
    <xf numFmtId="0" fontId="29" fillId="16" borderId="1" xfId="0" applyFont="1" applyFill="1" applyBorder="1" applyAlignment="1" applyProtection="1">
      <alignment horizontal="center" vertical="center"/>
      <protection locked="0"/>
    </xf>
    <xf numFmtId="0" fontId="27" fillId="16" borderId="12" xfId="0" applyFont="1" applyFill="1" applyBorder="1" applyAlignment="1" applyProtection="1">
      <alignment horizontal="left" vertical="center"/>
      <protection locked="0"/>
    </xf>
    <xf numFmtId="0" fontId="27" fillId="16" borderId="13" xfId="0" applyFont="1" applyFill="1" applyBorder="1" applyAlignment="1" applyProtection="1">
      <alignment horizontal="left" vertical="center"/>
      <protection locked="0"/>
    </xf>
    <xf numFmtId="0" fontId="27" fillId="16" borderId="50" xfId="0" applyFont="1" applyFill="1" applyBorder="1" applyAlignment="1" applyProtection="1">
      <alignment horizontal="center" vertical="center" wrapText="1"/>
      <protection locked="0"/>
    </xf>
    <xf numFmtId="0" fontId="27" fillId="16" borderId="4" xfId="0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29" fillId="16" borderId="1" xfId="0" applyFont="1" applyFill="1" applyBorder="1" applyAlignment="1" applyProtection="1">
      <alignment horizontal="left" vertical="center"/>
      <protection locked="0"/>
    </xf>
    <xf numFmtId="0" fontId="30" fillId="5" borderId="1" xfId="0" applyFont="1" applyFill="1" applyBorder="1" applyAlignment="1" applyProtection="1">
      <alignment horizontal="justify" vertical="center" wrapText="1"/>
      <protection locked="0"/>
    </xf>
    <xf numFmtId="0" fontId="29" fillId="16" borderId="11" xfId="0" applyFont="1" applyFill="1" applyBorder="1" applyAlignment="1" applyProtection="1">
      <alignment horizontal="center" vertical="center"/>
      <protection locked="0"/>
    </xf>
    <xf numFmtId="0" fontId="29" fillId="16" borderId="8" xfId="0" applyFont="1" applyFill="1" applyBorder="1" applyAlignment="1" applyProtection="1">
      <alignment horizontal="center" vertical="center"/>
      <protection locked="0"/>
    </xf>
    <xf numFmtId="0" fontId="27" fillId="16" borderId="1" xfId="0" applyFont="1" applyFill="1" applyBorder="1" applyAlignment="1">
      <alignment horizontal="right" vertical="center" wrapText="1"/>
    </xf>
    <xf numFmtId="169" fontId="27" fillId="16" borderId="1" xfId="4" applyNumberFormat="1" applyFont="1" applyFill="1" applyBorder="1" applyAlignment="1" applyProtection="1">
      <alignment horizontal="center" vertical="center" wrapText="1"/>
    </xf>
    <xf numFmtId="0" fontId="27" fillId="16" borderId="1" xfId="13" applyFont="1" applyFill="1" applyBorder="1" applyAlignment="1">
      <alignment horizontal="left" vertical="center" wrapText="1" readingOrder="1"/>
    </xf>
    <xf numFmtId="0" fontId="27" fillId="16" borderId="1" xfId="13" applyFont="1" applyFill="1" applyBorder="1" applyAlignment="1">
      <alignment horizontal="right"/>
    </xf>
    <xf numFmtId="0" fontId="27" fillId="16" borderId="1" xfId="13" applyFont="1" applyFill="1" applyBorder="1" applyAlignment="1">
      <alignment horizontal="center" vertical="center" wrapText="1"/>
    </xf>
    <xf numFmtId="0" fontId="27" fillId="16" borderId="1" xfId="13" applyFont="1" applyFill="1" applyBorder="1" applyAlignment="1">
      <alignment horizontal="center" vertical="center" wrapText="1" readingOrder="1"/>
    </xf>
    <xf numFmtId="0" fontId="27" fillId="16" borderId="50" xfId="13" applyFont="1" applyFill="1" applyBorder="1" applyAlignment="1">
      <alignment horizontal="center" vertical="center" wrapText="1" readingOrder="1"/>
    </xf>
    <xf numFmtId="41" fontId="27" fillId="16" borderId="1" xfId="13" applyNumberFormat="1" applyFont="1" applyFill="1" applyBorder="1" applyAlignment="1">
      <alignment horizontal="center" vertical="center" wrapText="1"/>
    </xf>
    <xf numFmtId="41" fontId="27" fillId="16" borderId="50" xfId="13" applyNumberFormat="1" applyFont="1" applyFill="1" applyBorder="1" applyAlignment="1">
      <alignment horizontal="center" vertical="center" wrapText="1"/>
    </xf>
    <xf numFmtId="0" fontId="27" fillId="16" borderId="1" xfId="13" applyFont="1" applyFill="1" applyBorder="1" applyAlignment="1">
      <alignment horizontal="left" vertical="center" readingOrder="1"/>
    </xf>
    <xf numFmtId="0" fontId="27" fillId="12" borderId="17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23" fillId="12" borderId="37" xfId="0" applyFont="1" applyFill="1" applyBorder="1" applyAlignment="1">
      <alignment horizontal="center" vertical="center"/>
    </xf>
    <xf numFmtId="9" fontId="23" fillId="12" borderId="37" xfId="3" applyFont="1" applyFill="1" applyBorder="1" applyAlignment="1">
      <alignment horizontal="center" vertical="center"/>
    </xf>
    <xf numFmtId="49" fontId="23" fillId="12" borderId="37" xfId="4" applyNumberFormat="1" applyFont="1" applyFill="1" applyBorder="1" applyAlignment="1">
      <alignment horizontal="center" vertical="center"/>
    </xf>
    <xf numFmtId="49" fontId="23" fillId="12" borderId="47" xfId="4" applyNumberFormat="1" applyFont="1" applyFill="1" applyBorder="1" applyAlignment="1">
      <alignment horizontal="center" vertical="center"/>
    </xf>
    <xf numFmtId="49" fontId="23" fillId="12" borderId="42" xfId="4" applyNumberFormat="1" applyFont="1" applyFill="1" applyBorder="1" applyAlignment="1">
      <alignment horizontal="center" vertical="center"/>
    </xf>
    <xf numFmtId="168" fontId="23" fillId="12" borderId="0" xfId="4" applyNumberFormat="1" applyFont="1" applyFill="1" applyBorder="1" applyAlignment="1">
      <alignment horizontal="center" vertical="center" wrapText="1"/>
    </xf>
    <xf numFmtId="168" fontId="23" fillId="12" borderId="44" xfId="4" applyNumberFormat="1" applyFont="1" applyFill="1" applyBorder="1" applyAlignment="1">
      <alignment horizontal="center" vertical="center" wrapText="1"/>
    </xf>
    <xf numFmtId="168" fontId="23" fillId="12" borderId="38" xfId="4" applyNumberFormat="1" applyFont="1" applyFill="1" applyBorder="1" applyAlignment="1">
      <alignment horizontal="center" vertical="center" wrapText="1"/>
    </xf>
    <xf numFmtId="49" fontId="23" fillId="12" borderId="47" xfId="4" applyNumberFormat="1" applyFont="1" applyFill="1" applyBorder="1" applyAlignment="1">
      <alignment horizontal="center" vertical="center" wrapText="1"/>
    </xf>
    <xf numFmtId="164" fontId="23" fillId="12" borderId="44" xfId="4" applyFont="1" applyFill="1" applyBorder="1" applyAlignment="1">
      <alignment horizontal="center" vertical="center"/>
    </xf>
    <xf numFmtId="164" fontId="23" fillId="12" borderId="48" xfId="4" applyFont="1" applyFill="1" applyBorder="1" applyAlignment="1">
      <alignment horizontal="center" vertical="center"/>
    </xf>
    <xf numFmtId="164" fontId="23" fillId="12" borderId="49" xfId="4" applyFont="1" applyFill="1" applyBorder="1" applyAlignment="1">
      <alignment horizontal="center" vertical="center"/>
    </xf>
    <xf numFmtId="164" fontId="23" fillId="12" borderId="38" xfId="4" applyFont="1" applyFill="1" applyBorder="1" applyAlignment="1">
      <alignment horizontal="center" vertical="center"/>
    </xf>
    <xf numFmtId="164" fontId="23" fillId="12" borderId="45" xfId="4" applyFont="1" applyFill="1" applyBorder="1" applyAlignment="1">
      <alignment horizontal="center" vertical="center"/>
    </xf>
    <xf numFmtId="164" fontId="23" fillId="12" borderId="46" xfId="4" applyFont="1" applyFill="1" applyBorder="1" applyAlignment="1">
      <alignment horizontal="center" vertical="center"/>
    </xf>
    <xf numFmtId="10" fontId="31" fillId="0" borderId="1" xfId="3" applyNumberFormat="1" applyFont="1" applyBorder="1" applyAlignment="1" applyProtection="1">
      <alignment horizontal="right" vertical="center" wrapText="1"/>
    </xf>
  </cellXfs>
  <cellStyles count="22">
    <cellStyle name="Bom" xfId="1" builtinId="26"/>
    <cellStyle name="Moeda 2" xfId="6" xr:uid="{00000000-0005-0000-0000-000001000000}"/>
    <cellStyle name="Moeda 2 2" xfId="18" xr:uid="{00000000-0005-0000-0000-000002000000}"/>
    <cellStyle name="Neutro" xfId="2" builtinId="28"/>
    <cellStyle name="Normal" xfId="0" builtinId="0"/>
    <cellStyle name="Normal 2" xfId="5" xr:uid="{00000000-0005-0000-0000-000005000000}"/>
    <cellStyle name="Normal 2 2" xfId="14" xr:uid="{00000000-0005-0000-0000-000006000000}"/>
    <cellStyle name="Normal 3" xfId="8" xr:uid="{00000000-0005-0000-0000-000007000000}"/>
    <cellStyle name="Normal 3 2" xfId="9" xr:uid="{00000000-0005-0000-0000-000008000000}"/>
    <cellStyle name="Normal 3 2 2" xfId="13" xr:uid="{00000000-0005-0000-0000-000009000000}"/>
    <cellStyle name="Normal 4" xfId="17" xr:uid="{00000000-0005-0000-0000-00000A000000}"/>
    <cellStyle name="Porcentagem" xfId="3" builtinId="5"/>
    <cellStyle name="Porcentagem 2" xfId="12" xr:uid="{00000000-0005-0000-0000-00000C000000}"/>
    <cellStyle name="Separador de milhares 2" xfId="15" xr:uid="{00000000-0005-0000-0000-00000D000000}"/>
    <cellStyle name="Vírgula" xfId="4" builtinId="3"/>
    <cellStyle name="Vírgula 2" xfId="7" xr:uid="{00000000-0005-0000-0000-00000F000000}"/>
    <cellStyle name="Vírgula 2 2" xfId="11" xr:uid="{00000000-0005-0000-0000-000010000000}"/>
    <cellStyle name="Vírgula 2 2 2" xfId="21" xr:uid="{00000000-0005-0000-0000-000011000000}"/>
    <cellStyle name="Vírgula 2 3" xfId="19" xr:uid="{00000000-0005-0000-0000-000012000000}"/>
    <cellStyle name="Vírgula 3" xfId="16" xr:uid="{00000000-0005-0000-0000-000013000000}"/>
    <cellStyle name="Vírgula 4" xfId="10" xr:uid="{00000000-0005-0000-0000-000014000000}"/>
    <cellStyle name="Vírgula 4 2" xfId="20" xr:uid="{00000000-0005-0000-0000-000015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FAF"/>
      <color rgb="FFFF6900"/>
      <color rgb="FFFFF3EB"/>
      <color rgb="FFFFF5D9"/>
      <color rgb="FFFF6600"/>
      <color rgb="FFFFCD00"/>
      <color rgb="FF530053"/>
      <color rgb="FFF09C68"/>
      <color rgb="FF2A5664"/>
      <color rgb="FFE4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47625</xdr:rowOff>
        </xdr:from>
        <xdr:to>
          <xdr:col>11</xdr:col>
          <xdr:colOff>19050</xdr:colOff>
          <xdr:row>3</xdr:row>
          <xdr:rowOff>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2023.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2\Reprograma&#231;&#227;o%202022\Parecer\Plano%20de%20A&#231;&#227;o%20final\Reprogramacao%20do%20Plano%20de%20Acao%20e%20Orcamento%202022%20CAU-M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financeiro\Livian%20Hott\Or&#231;amento%202023\Modelo%20para%20Elabora&#231;&#227;o%20da%20Programa&#231;&#227;o%20do%20Plano%20de%20A&#231;&#227;o%20e%20Or&#231;amento%20CAUUF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1">
          <cell r="XFB1">
            <v>0.05</v>
          </cell>
        </row>
      </sheetData>
      <sheetData sheetId="36">
        <row r="5">
          <cell r="C5">
            <v>586</v>
          </cell>
        </row>
      </sheetData>
      <sheetData sheetId="37"/>
      <sheetData sheetId="38">
        <row r="6">
          <cell r="AX6">
            <v>67439.888000000006</v>
          </cell>
        </row>
      </sheetData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/>
      <sheetData sheetId="5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."/>
      <sheetName val="Indicadores e Metas"/>
      <sheetName val="Quadro Geral"/>
      <sheetName val="Anexo 1. Fontes e Aplicações"/>
      <sheetName val="Anexo 2. Limites Estratégicos"/>
      <sheetName val="Anexo 3. Elemento de Despesas"/>
      <sheetName val="Facultativo- Anexo 4"/>
      <sheetName val="Validação de dados"/>
      <sheetName val="Diretrizes - Resumo"/>
      <sheetName val="DemonstrativoEmpenhosPagame"/>
      <sheetName val="Matriz de Obj. Estrat."/>
    </sheetNames>
    <sheetDataSet>
      <sheetData sheetId="0"/>
      <sheetData sheetId="1"/>
      <sheetData sheetId="2"/>
      <sheetData sheetId="3">
        <row r="7">
          <cell r="F7">
            <v>0.37162954279015242</v>
          </cell>
        </row>
        <row r="12">
          <cell r="F12">
            <v>0.9</v>
          </cell>
        </row>
        <row r="14">
          <cell r="F14">
            <v>0.02</v>
          </cell>
        </row>
        <row r="16">
          <cell r="F16">
            <v>0.2822244180939833</v>
          </cell>
        </row>
        <row r="18">
          <cell r="F18">
            <v>0.79831932773109249</v>
          </cell>
        </row>
        <row r="20">
          <cell r="F20">
            <v>0.2</v>
          </cell>
        </row>
        <row r="22">
          <cell r="F22">
            <v>0.6</v>
          </cell>
        </row>
        <row r="24">
          <cell r="F24">
            <v>0.15767045454545456</v>
          </cell>
        </row>
        <row r="26">
          <cell r="F26">
            <v>0.125</v>
          </cell>
        </row>
        <row r="28">
          <cell r="F28">
            <v>0.2</v>
          </cell>
        </row>
        <row r="30">
          <cell r="F30">
            <v>0.76249999999999996</v>
          </cell>
        </row>
        <row r="33">
          <cell r="F33">
            <v>1</v>
          </cell>
        </row>
        <row r="35">
          <cell r="F35">
            <v>0.93633952254641906</v>
          </cell>
        </row>
        <row r="37">
          <cell r="F37" t="str">
            <v>NSA</v>
          </cell>
        </row>
        <row r="40">
          <cell r="F40">
            <v>1</v>
          </cell>
        </row>
        <row r="42">
          <cell r="F42">
            <v>1</v>
          </cell>
        </row>
        <row r="44">
          <cell r="F44">
            <v>15.609762237762236</v>
          </cell>
        </row>
        <row r="46">
          <cell r="F46">
            <v>0.95</v>
          </cell>
        </row>
        <row r="49">
          <cell r="F49">
            <v>10</v>
          </cell>
        </row>
        <row r="51">
          <cell r="F51" t="str">
            <v>NSA</v>
          </cell>
        </row>
        <row r="53">
          <cell r="F53">
            <v>1.4E-2</v>
          </cell>
        </row>
        <row r="56">
          <cell r="F56">
            <v>140000</v>
          </cell>
        </row>
        <row r="57">
          <cell r="F57">
            <v>4.1666666666666664E-2</v>
          </cell>
        </row>
        <row r="59">
          <cell r="F59">
            <v>0.8</v>
          </cell>
        </row>
        <row r="61">
          <cell r="F61">
            <v>300000</v>
          </cell>
        </row>
        <row r="63">
          <cell r="F63" t="str">
            <v>NSA</v>
          </cell>
        </row>
        <row r="65">
          <cell r="F65">
            <v>0.51351351351351349</v>
          </cell>
        </row>
        <row r="67">
          <cell r="F67">
            <v>0.49041095890410957</v>
          </cell>
        </row>
        <row r="70">
          <cell r="F70">
            <v>2.8811050740281479</v>
          </cell>
        </row>
        <row r="72">
          <cell r="F72">
            <v>2.4898686983303615E-2</v>
          </cell>
        </row>
        <row r="74">
          <cell r="F74">
            <v>6.8082347219970826E-3</v>
          </cell>
        </row>
        <row r="77">
          <cell r="F77">
            <v>707.53450373877024</v>
          </cell>
        </row>
        <row r="79">
          <cell r="F79">
            <v>0.51381691273176622</v>
          </cell>
        </row>
        <row r="81">
          <cell r="F81">
            <v>21.68380677052647</v>
          </cell>
        </row>
        <row r="83">
          <cell r="F83">
            <v>0.25</v>
          </cell>
        </row>
        <row r="85">
          <cell r="F85">
            <v>0.33800000000000002</v>
          </cell>
        </row>
        <row r="88">
          <cell r="F88">
            <v>1</v>
          </cell>
        </row>
        <row r="90">
          <cell r="F90">
            <v>0.71875</v>
          </cell>
        </row>
        <row r="92">
          <cell r="F92">
            <v>0</v>
          </cell>
        </row>
        <row r="95">
          <cell r="F95">
            <v>7.4651162790697674</v>
          </cell>
        </row>
        <row r="98">
          <cell r="F98">
            <v>14</v>
          </cell>
        </row>
        <row r="99">
          <cell r="F99">
            <v>0.60305343511450382</v>
          </cell>
        </row>
        <row r="102">
          <cell r="F102">
            <v>0.89473684210526316</v>
          </cell>
        </row>
        <row r="104">
          <cell r="F104">
            <v>0.93368700265251992</v>
          </cell>
        </row>
      </sheetData>
      <sheetData sheetId="4">
        <row r="8">
          <cell r="A8" t="str">
            <v>Comissão de Ensino e Formação (CEF)</v>
          </cell>
          <cell r="B8" t="str">
            <v>A</v>
          </cell>
          <cell r="D8" t="str">
            <v>Manter e Desenvolver as Atividades da Comissão de Ensino e Formação</v>
          </cell>
          <cell r="E8" t="str">
            <v>Cumprir as competências da Comissão conforme Regimento Interno e as ações previstas no seu Plano de</v>
          </cell>
          <cell r="F8" t="str">
            <v>Influenciar as diretrizes do ensino de Arquitetura e Urbanismo e sua formação continuada</v>
          </cell>
          <cell r="G8" t="str">
            <v>04 - Educação de qualidade</v>
          </cell>
          <cell r="H8" t="str">
            <v>Diretrizes e orientações desenvolvidas para maior integração entre CAU/MG e as Instituições de Ensino Superior mineiras; Demandas administrativas relativas à Comissão realizadas conforme previsões regimentais e pelos normativos do CAU.</v>
          </cell>
          <cell r="L8">
            <v>162959.51000000004</v>
          </cell>
        </row>
        <row r="9">
          <cell r="A9" t="str">
            <v>Comissão de Ética e Disciplina (CED)</v>
          </cell>
          <cell r="B9" t="str">
            <v>A</v>
          </cell>
          <cell r="D9" t="str">
            <v>Manter e Desenvolver as Atividades da Comissão de Ética e Disciplina</v>
          </cell>
          <cell r="E9" t="str">
            <v>Cumprir as competências da Comissão conforme Regimento Interno e as ações previstas no seu Plano de Trabalho e no Plano de Ação do CAU/MG.</v>
          </cell>
          <cell r="F9" t="str">
            <v>Promover o exercício ético e qualificado da profissão</v>
          </cell>
          <cell r="G9" t="str">
            <v>16 - Paz, justiça e instituições eficazes</v>
          </cell>
          <cell r="H9" t="str">
            <v>Diretrizes e orientações desenvolvidas e divulgadas para a ampliação da compreensão do Código de Ética no Estado de Minas Gerais; Demandas administrativas relativas à Comissão realizadas conforme previsões regimentais e pelos normativos do CAU.</v>
          </cell>
          <cell r="L9">
            <v>47930.14</v>
          </cell>
        </row>
        <row r="10">
          <cell r="A10" t="str">
            <v>Comissão de Exercício Profissional (CEP)</v>
          </cell>
          <cell r="B10" t="str">
            <v>A</v>
          </cell>
          <cell r="D10" t="str">
            <v>Manter e Desenvolver as Atividades da Comissão de Exercício Profissional</v>
          </cell>
          <cell r="E10" t="str">
            <v>Cumprir as competências da Comissão conforme Regimento Interno e as ações previstas no seu Plano de Trabalho e no Plano de Ação do CAU/MG.</v>
          </cell>
          <cell r="F10" t="str">
            <v>Tornar a fiscalização um vetor de melhoria do exercício da Arquitetura e Urbanismo</v>
          </cell>
          <cell r="G10" t="str">
            <v>11 - Cidades e comunidades sustentáveis</v>
          </cell>
          <cell r="H10" t="str">
            <v>Diretrizes e orientações  elaboradas e monitoradas para a fiscalização do CAU/MG; Demandas administrativas relativas à Comissão realizadas conforme previsões regimentais e pelos normativos do CAU.</v>
          </cell>
          <cell r="L10">
            <v>154135.81999999998</v>
          </cell>
        </row>
        <row r="11">
          <cell r="A11" t="str">
            <v>Comissão de Planejamento e Finanças (CPFi)</v>
          </cell>
          <cell r="B11" t="str">
            <v>A</v>
          </cell>
          <cell r="D11" t="str">
            <v>Manter e Desenvolver as Atividades da Comissão de Planejamento e Finanças</v>
          </cell>
          <cell r="E11" t="str">
            <v>Cumprir as competências da Comissão conforme Regimento Interno e as ações previstas no seu Plano de Trabalho e no Plano de Ação do CAU/MG.</v>
          </cell>
          <cell r="F11" t="str">
            <v>Assegurar a sustentabilidade financeira</v>
          </cell>
          <cell r="G11" t="str">
            <v>16 - Paz, justiça e instituições eficazes</v>
          </cell>
          <cell r="H11" t="str">
            <v>Diretrizes e orientações elaboradas e revisadas voltadas para melhorias no planejamento das ações administrativas e financeiras do CAU/MG; Demandas administrativas relativas à Comissão realizadas conforme previsões regimentais e pelos normativos do CAU.</v>
          </cell>
          <cell r="L11">
            <v>118341.02999999998</v>
          </cell>
        </row>
        <row r="12">
          <cell r="A12" t="str">
            <v>Comissão de Organização e Administração (COA)</v>
          </cell>
          <cell r="B12" t="str">
            <v>A</v>
          </cell>
          <cell r="D12" t="str">
            <v>Manter e Desenvolver as Atividades da Comissão de Organização e Administração</v>
          </cell>
          <cell r="E12" t="str">
            <v>Cumprir as competências da Comissão conforme Regimento Interno e as ações previstas no seu Plano de Trabalho e no Plano de Ação do CAU/MG.</v>
          </cell>
          <cell r="F12" t="str">
            <v>Aprimorar e inovar os processos e as ações</v>
          </cell>
          <cell r="G12" t="str">
            <v>16 - Paz, justiça e instituições eficazes</v>
          </cell>
          <cell r="H12" t="str">
            <v>Diretrizes e orientações elaboradas e revisadas voltadas para melhorias organizacionais, normativas e administrativas do CAU/MG; Demandas administrativas relativas à Comissão realizadas conforme previsões regimentais e pelos normativos do CAU.</v>
          </cell>
          <cell r="L12">
            <v>109513.42999999998</v>
          </cell>
        </row>
        <row r="13">
          <cell r="A13" t="str">
            <v>Comissão Especial de Política Urbana e Ambiental (CPUA)</v>
          </cell>
          <cell r="B13" t="str">
            <v>A</v>
          </cell>
          <cell r="D13" t="str">
            <v>Manter e Desenvolver as Atividades da Comissão Especial de Política Urbana e Ambiental</v>
          </cell>
          <cell r="E13" t="str">
            <v>Cumprir as competências da Comissão conforme Regimento Interno e as ações previstas no seu Plano de Trabalho e no Plano de Ação do CAU/MG.</v>
          </cell>
          <cell r="F13" t="str">
            <v>Garantir a participação dos Arquitetos e Urbanistas no planejamento territorial e na gestão urbana</v>
          </cell>
          <cell r="G13" t="str">
            <v>11 - Cidades e comunidades sustentáveis</v>
          </cell>
          <cell r="H13" t="str">
            <v>Diretrizes e orientações elaboradas e revisadas voltadas para o aperfeiçoamento da política urbana de municípios e estado e para o desenvolvimento profissional integrado às demandas relativas ao planejamento urbano e territorial; Demandas administrativas relativas à Comissão realizadas conforme previsões regimentais e pelos normativos do CAU.</v>
          </cell>
          <cell r="L13">
            <v>51177.939999999995</v>
          </cell>
        </row>
        <row r="14">
          <cell r="A14" t="str">
            <v>Comissão Especial de Assistência Técnica para Habitação de Interesse Social (Cathis)</v>
          </cell>
          <cell r="B14" t="str">
            <v>A</v>
          </cell>
          <cell r="D14" t="str">
            <v>Manter e Desenvolver as Atividades da Comissão Especial de Assistência Técnica para Habitação de Interesse Social</v>
          </cell>
          <cell r="E14" t="str">
            <v>Cumprir as competências da Comissão conforme Regimento Interno e as ações previstas no seu Plano de Trabalho e no Plano de Ação do CAU/MG.</v>
          </cell>
          <cell r="F14" t="str">
            <v>Fomentar o acesso da sociedade à Arquitetura e Urbanismo</v>
          </cell>
          <cell r="G14" t="str">
            <v>11 - Cidades e comunidades sustentáveis</v>
          </cell>
          <cell r="H14" t="str">
            <v>Diretrizes e orientações elaboradas e revisadas voltadas para o aperfeiçoamento da política de assistência técnica para habitação de interesse social pública e gratuita e para o desenvolvimento profissional integrado às demandas habitacionais, urbanas e ambientais dos territórios; Demandas administrativas relativas à Comissão realizadas conforme previsões regimentais e pelos normativos do CAU.</v>
          </cell>
          <cell r="L14">
            <v>54830</v>
          </cell>
        </row>
        <row r="15">
          <cell r="A15" t="str">
            <v>Comissão Especial de Patrimônio Cultural (CPC)</v>
          </cell>
          <cell r="B15" t="str">
            <v>A</v>
          </cell>
          <cell r="D15" t="str">
            <v>Manter e Desenvolver as Atividades da Comissão Especial de Patrimônio Cultural</v>
          </cell>
          <cell r="E15" t="str">
            <v>Cumprir as competências da Comissão conforme Regimento Interno e as ações previstas no seu Plano de Trabalho e no Plano de Ação do CAU/MG.</v>
          </cell>
          <cell r="F15" t="str">
            <v>Estimular a produção da Arquitetura e Urbanismo como política de Estado</v>
          </cell>
          <cell r="G15" t="str">
            <v>11 - Cidades e comunidades sustentáveis</v>
          </cell>
          <cell r="H15" t="str">
            <v>Diretrizes e orientações elaboradas e revisadas voltadas para a valorização e difusão do patrimônio cultural  e promoção da participação dos arquitetos e urbanistas na atuação direta e gestão do patrimônio cultural como política de Estado; Demandas administrativas relativas à Comissão realizadas conforme previsões regimentais e pelos normativos do CAU.</v>
          </cell>
          <cell r="L15">
            <v>48947.06</v>
          </cell>
        </row>
        <row r="16">
          <cell r="A16" t="str">
            <v>Presidência</v>
          </cell>
          <cell r="B16" t="str">
            <v>A</v>
          </cell>
          <cell r="D16" t="str">
            <v>Manter e Desenvolver as Atividades da Presidência e dos Conselheiros Federais</v>
          </cell>
          <cell r="E16" t="str">
            <v>Cumprir as competências dos órgãos colegiados conforme Regimento Interno e seu planejamento</v>
          </cell>
          <cell r="F16" t="str">
            <v>Construir cultura organizacional adequada à estratégia</v>
          </cell>
          <cell r="G16" t="str">
            <v>16 - Paz, justiça e instituições eficazes</v>
          </cell>
          <cell r="H16" t="str">
            <v>Representação oficial realizada pela Presidência do CAU/MG e de seus Conselheiros Federais nas reuniões dos órgãos colegiados do CAU/MG; Rotinas administrativas realizadas pela Presidência do CAU/MG.</v>
          </cell>
          <cell r="L16">
            <v>144412.97</v>
          </cell>
        </row>
        <row r="17">
          <cell r="A17" t="str">
            <v>Presidência</v>
          </cell>
          <cell r="B17" t="str">
            <v>A</v>
          </cell>
          <cell r="D17" t="str">
            <v>Manter e Desenvolver as Atividades de Comissões Temporárias</v>
          </cell>
          <cell r="E17" t="str">
            <v>Garantir a realização de reuniões e ações de Comissões Temporárias instituídas pelo Plenário para atender demandas específicas, conforme Regimento Interno.</v>
          </cell>
          <cell r="F17" t="str">
            <v>Aprimorar e inovar os processos e as ações</v>
          </cell>
          <cell r="G17" t="str">
            <v>16 - Paz, justiça e instituições eficazes</v>
          </cell>
          <cell r="H17" t="str">
            <v>Apresentação de relatório(s) conclusivo(s) dirigido(s) ao órgão proponente pela instituição das Comissões Temporárias, apresentados ao final dos trabalhos de resolução de demanda específica, publicando-os no sítio eletrônico do CAU/MG.</v>
          </cell>
          <cell r="L17">
            <v>7842.4000000000005</v>
          </cell>
        </row>
        <row r="18">
          <cell r="A18" t="str">
            <v>Presidência</v>
          </cell>
          <cell r="B18" t="str">
            <v>P</v>
          </cell>
          <cell r="D18" t="str">
            <v>Edital de Patrocínio modalidade Patrimônio Cultural</v>
          </cell>
          <cell r="E18" t="str">
            <v>Fomentar atividades que promovam a arquitetura e urbanismo em Minas Gerais.</v>
          </cell>
          <cell r="F18" t="str">
            <v>Estimular o conhecimento, o uso de processos criativos e a difusão das melhores práticas em Arquitetura e Urbanismo</v>
          </cell>
          <cell r="G18" t="str">
            <v>17 - Parcerias e meios de implementação</v>
          </cell>
          <cell r="H18" t="str">
            <v>Lançamento de Edital de Patrocínio, e firmar convênios específicos com o objetivo de valorizar a Arquitetura e Urbanismo em Minas Gerais.</v>
          </cell>
          <cell r="L18">
            <v>200000</v>
          </cell>
        </row>
        <row r="19">
          <cell r="A19" t="str">
            <v>Presidência</v>
          </cell>
          <cell r="B19" t="str">
            <v>P</v>
          </cell>
          <cell r="D19" t="str">
            <v>Edital de Patrocínio Modalidade Política Urbana</v>
          </cell>
          <cell r="E19" t="str">
            <v xml:space="preserve">Fomentar atividades no campo da Política Urbana e Ambiental </v>
          </cell>
          <cell r="F19" t="str">
            <v>Estimular o conhecimento, o uso de processos criativos e a difusão das melhores práticas em Arquitetura e Urbanismo</v>
          </cell>
          <cell r="G19" t="str">
            <v>11 - Cidades e comunidades sustentáveis</v>
          </cell>
          <cell r="H19" t="str">
            <v xml:space="preserve">Lançamento de Edital e Premiação dos trabalhos que promovam a Arquitetura e Urbanismo no campo da Política Urbana e Ambiental
</v>
          </cell>
          <cell r="L19">
            <v>35000</v>
          </cell>
        </row>
        <row r="20">
          <cell r="A20" t="str">
            <v>Presidência</v>
          </cell>
          <cell r="B20" t="str">
            <v>P</v>
          </cell>
          <cell r="D20" t="str">
            <v>Edital de Apoio Institucional</v>
          </cell>
          <cell r="E20" t="str">
            <v>Incentivar iniciativas diversas relacionadas ao Exercício da Arquitetura e Urbanismo</v>
          </cell>
          <cell r="F20" t="str">
            <v>Estimular o conhecimento, o uso de processos criativos e a difusão das melhores práticas em Arquitetura e Urbanismo</v>
          </cell>
          <cell r="G20" t="str">
            <v>17 - Parcerias e meios de implementação</v>
          </cell>
          <cell r="H20" t="str">
            <v>Apoio Institucional com repasse financeiro como incentivo a iniciativas diversas relacionadas ao Exercício da Arquitetura e Urbanismo</v>
          </cell>
          <cell r="L20">
            <v>15200</v>
          </cell>
        </row>
        <row r="21">
          <cell r="A21" t="str">
            <v>Presidência</v>
          </cell>
          <cell r="B21" t="str">
            <v>P</v>
          </cell>
          <cell r="D21" t="str">
            <v>Assistência Técnica para Habitação de Interesse Social (ATHIS)</v>
          </cell>
          <cell r="E21" t="str">
            <v>Fomentar atividades que promovam a arquitetura e urbanismo em Minas Gerais no campo da Assistência Técnica para a Habitação de Interesse Social (Athis).</v>
          </cell>
          <cell r="F21" t="str">
            <v>Fomentar o acesso da sociedade à Arquitetura e Urbanismo</v>
          </cell>
          <cell r="G21" t="str">
            <v>11 - Cidades e comunidades sustentáveis</v>
          </cell>
          <cell r="H21" t="str">
            <v>Lançamento de Edital de Patrocínio, e firmar convênios específicos com o objetivo de valorizar a Arquitetura e Urbanismo em Minas Gerais.</v>
          </cell>
          <cell r="L21">
            <v>300000</v>
          </cell>
        </row>
        <row r="22">
          <cell r="A22" t="str">
            <v>Presidência</v>
          </cell>
          <cell r="B22" t="str">
            <v>P</v>
          </cell>
          <cell r="D22" t="str">
            <v>Representação Institucional do CAU/MG II</v>
          </cell>
          <cell r="E22" t="str">
            <v>Garantir a representação de colaborador ou dirigente do CAU/MG no desenvolvimento de ações ligadas ao planejamento urbano e temáticas afins.</v>
          </cell>
          <cell r="F22" t="str">
            <v>Estimular a produção da Arquitetura e Urbanismo como política de Estado</v>
          </cell>
          <cell r="G22" t="str">
            <v>11 - Cidades e comunidades sustentáveis</v>
          </cell>
          <cell r="H22" t="str">
            <v>Ampliação da presença do CAU/MG nos debates de planejamento urbano e temáticas afins no estado.</v>
          </cell>
          <cell r="L22">
            <v>25611.96</v>
          </cell>
        </row>
        <row r="23">
          <cell r="A23" t="str">
            <v>Presidência</v>
          </cell>
          <cell r="B23" t="str">
            <v>P</v>
          </cell>
          <cell r="D23" t="str">
            <v>Representação Institucional do CAU/MG I</v>
          </cell>
          <cell r="E23" t="str">
            <v>Garantir a representação de colaborador ou dirigente do CAU/MG no desenvolvimento de ações ligadas ao ensino, formação profissional e ao Código de Ética.</v>
          </cell>
          <cell r="F23" t="str">
            <v>Promover o exercício ético e qualificado da profissão</v>
          </cell>
          <cell r="G23" t="str">
            <v>16 - Paz, justiça e instituições eficazes</v>
          </cell>
          <cell r="H23" t="str">
            <v>Ampliação da presença do CAU/MG em Instituições de Ensino Superior (IES) mineiras e órgãos públicos municipais e do estado.</v>
          </cell>
          <cell r="L23">
            <v>11636.14</v>
          </cell>
        </row>
        <row r="24">
          <cell r="A24" t="str">
            <v>Presidência</v>
          </cell>
          <cell r="B24" t="str">
            <v>A</v>
          </cell>
          <cell r="D24" t="str">
            <v>Capacitações</v>
          </cell>
          <cell r="E24" t="str">
            <v>Garantir a capacitação de colaboradores e dirigentes, melhorando e ampliando a capacidade técnica desses agentes.</v>
          </cell>
          <cell r="F24" t="str">
            <v>Desenvolver competências de dirigentes e colaboradores</v>
          </cell>
          <cell r="G24" t="str">
            <v>08 - Trabalho decente e crescimento econômico</v>
          </cell>
          <cell r="H24" t="str">
            <v>Capacitação realizada de colaboradores e dirigentes.</v>
          </cell>
          <cell r="L24">
            <v>135158.09</v>
          </cell>
        </row>
        <row r="25">
          <cell r="A25" t="str">
            <v>Presidência</v>
          </cell>
          <cell r="B25" t="str">
            <v>A</v>
          </cell>
          <cell r="D25" t="str">
            <v>Manter e Desenvolver as Atividades da Ouvidoria</v>
          </cell>
          <cell r="E25" t="str">
            <v>Assegurar a eficácia no atendimento e no relacionamento com os arquitetos e urbanistas e a sociedade</v>
          </cell>
          <cell r="F25" t="str">
            <v>Assegurar a eficácia no atendimento e no relacionamento com os Arquitetos e Urbanistas e a Sociedade</v>
          </cell>
          <cell r="G25" t="str">
            <v>16 - Paz, justiça e instituições eficazes</v>
          </cell>
          <cell r="H25" t="str">
            <v>Ampliação da comunicação direta com os profissionais, a fim de propor soluções para demandas críticas e promover melhorias gerais no atendimento.</v>
          </cell>
          <cell r="L25">
            <v>67231.539999999994</v>
          </cell>
        </row>
        <row r="26">
          <cell r="A26" t="str">
            <v>Assessoria de Comunicação (Ascom)</v>
          </cell>
          <cell r="B26" t="str">
            <v>A</v>
          </cell>
          <cell r="D26" t="str">
            <v xml:space="preserve"> Manter e Desenvolver as Atividades da Assessoria de Comunicação</v>
          </cell>
          <cell r="E26" t="str">
            <v>Fortalecer a imagem do CAU/MG e garantir a divulgação das informações da autarquia para a sociedade.</v>
          </cell>
          <cell r="F26" t="str">
            <v>Assegurar a eficácia no relacionamento e comunicação com a sociedade</v>
          </cell>
          <cell r="G26" t="str">
            <v>16 - Paz, justiça e instituições eficazes</v>
          </cell>
          <cell r="H26" t="str">
            <v>Acompanhamento da produção, desenvolvimento e distribuição de cartilhas e divulgação de campanhas; Demandas administrativas relativas a assessoria.</v>
          </cell>
          <cell r="L26">
            <v>771063.97</v>
          </cell>
        </row>
        <row r="27">
          <cell r="A27" t="str">
            <v>Gerência Geral (Gergel)</v>
          </cell>
          <cell r="B27" t="str">
            <v>A</v>
          </cell>
          <cell r="D27" t="str">
            <v xml:space="preserve">Manter e Desenvolver as Atividades da Assessoria de Eventos </v>
          </cell>
          <cell r="E27" t="str">
            <v>Promover a arquitetura e urbanismo em Minas Gerais através do contato e participação de profissionais e sociedade.</v>
          </cell>
          <cell r="F27" t="str">
            <v>Estimular o conhecimento, o uso de processos criativos e a difusão das melhores práticas em Arquitetura e Urbanismo</v>
          </cell>
          <cell r="G27" t="str">
            <v>17 - Parcerias e meios de implementação</v>
          </cell>
          <cell r="H27" t="str">
            <v>Realização de eventos de integração e de esclarecimentos para profissionais e sociedade sobre Arquitetura e Urbanismo.</v>
          </cell>
          <cell r="L27">
            <v>310826.2</v>
          </cell>
        </row>
        <row r="28">
          <cell r="A28" t="str">
            <v>Gerência Geral (Gergel)</v>
          </cell>
          <cell r="B28" t="str">
            <v>A</v>
          </cell>
          <cell r="D28" t="str">
            <v xml:space="preserve"> Manter e Desenvolver as Atividades da Gerência Geral</v>
          </cell>
          <cell r="E28" t="str">
            <v>Cumprir as atribuições da Gerência Geral conforme atos administrativos do CAU/MG.</v>
          </cell>
          <cell r="F28" t="str">
            <v>Construir cultura organizacional adequada à estratégia</v>
          </cell>
          <cell r="G28" t="str">
            <v>05 - Igualdade de gênero</v>
          </cell>
          <cell r="H28" t="str">
            <v>Integração das atividades realizadas pelas unidades administrativas do CAU/MG.</v>
          </cell>
          <cell r="L28">
            <v>484977.15</v>
          </cell>
        </row>
        <row r="29">
          <cell r="A29" t="str">
            <v>Gerência Geral (Gergel)</v>
          </cell>
          <cell r="B29" t="str">
            <v>P</v>
          </cell>
          <cell r="D29" t="str">
            <v>Mudança e adequações da nova sede e escritórios descentralizados do CAU/MG</v>
          </cell>
          <cell r="E29" t="str">
            <v>Ocupar espaço físico qualificado e acessível à sociedade para cumprir a finalidade precípua da autarquia.</v>
          </cell>
          <cell r="F29" t="str">
            <v>Ter sistemas de informação e infraestrutura que viabilizem a gestão e o atendimento dos arquitetos e urbanistas e a sociedade</v>
          </cell>
          <cell r="G29" t="str">
            <v>16 - Paz, justiça e instituições eficazes</v>
          </cell>
          <cell r="H29" t="str">
            <v>Ocupação de nova sede que comporte com qualidade seu Quadro de Pessoal projetado, mais atividades e reuniões de seus órgãos colegiados, além de economia financeira com custeios de Sede.</v>
          </cell>
          <cell r="L29">
            <v>429402.82</v>
          </cell>
        </row>
        <row r="30">
          <cell r="A30" t="str">
            <v>Secretaria Geral</v>
          </cell>
          <cell r="B30" t="str">
            <v>A</v>
          </cell>
          <cell r="D30" t="str">
            <v xml:space="preserve"> Manter e Desenvolver as Atividades da Secretaria Geral</v>
          </cell>
          <cell r="E30" t="str">
            <v>Cumprir as atribuições da Secretaria Geral conforme atos administrativos do CAU/MG.</v>
          </cell>
          <cell r="F30" t="str">
            <v>Aprimorar e inovar os processos e as ações</v>
          </cell>
          <cell r="G30" t="str">
            <v>16 - Paz, justiça e instituições eficazes</v>
          </cell>
          <cell r="H30" t="str">
            <v>Documentos e correspondências oficiais elaborados; gestão documental da Presidência realizada; cotação de preços realizada.</v>
          </cell>
          <cell r="L30">
            <v>516624.35</v>
          </cell>
        </row>
        <row r="31">
          <cell r="A31" t="str">
            <v>Gerência Técnica  de Fiscalização (Gertef) - Coordenação Fiscalização</v>
          </cell>
          <cell r="B31" t="str">
            <v>A</v>
          </cell>
          <cell r="D31" t="str">
            <v>Manter e Desenvolver as Atividades de Coordenação da Fiscalização da GERTEF</v>
          </cell>
          <cell r="E31" t="str">
            <v>Cumprir a finalidade precípua do Conselho, garantindo a fiscalização do exercício profissional.</v>
          </cell>
          <cell r="F31" t="str">
            <v>Tornar a fiscalização um vetor de melhoria do exercício da Arquitetura e Urbanismo</v>
          </cell>
          <cell r="G31" t="str">
            <v>11 - Cidades e comunidades sustentáveis</v>
          </cell>
          <cell r="H31" t="str">
            <v>Planejamento e execução das ações de fiscalização.</v>
          </cell>
          <cell r="L31">
            <v>1430264.74</v>
          </cell>
        </row>
        <row r="32">
          <cell r="A32" t="str">
            <v>Gerência Técnica  de Fiscalização (Gertef) - Rotas</v>
          </cell>
          <cell r="B32" t="str">
            <v>A</v>
          </cell>
          <cell r="D32" t="str">
            <v>Fiscalização Itinerante / Rotas</v>
          </cell>
          <cell r="E32" t="str">
            <v>Promover a atuação itinerante do CAU/MG e mesmo as ações de fiscalização que envolvam uso de veículo.</v>
          </cell>
          <cell r="F32" t="str">
            <v>Tornar a fiscalização um vetor de melhoria do exercício da Arquitetura e Urbanismo</v>
          </cell>
          <cell r="G32" t="str">
            <v>11 - Cidades e comunidades sustentáveis</v>
          </cell>
          <cell r="H32" t="str">
            <v>Ampliação da atuação da Fiscalização Itinerante do CAU/MG, não apenas nas cidades onde há a presença dos fiscais, mas também em outros municípios mineiros.</v>
          </cell>
          <cell r="L32">
            <v>214535.81</v>
          </cell>
        </row>
        <row r="33">
          <cell r="A33" t="str">
            <v>Gerência Técnica e Fiscalização (Gertef) -  Coordenação de Fiscalização</v>
          </cell>
          <cell r="B33" t="str">
            <v>A</v>
          </cell>
          <cell r="D33" t="str">
            <v>Centro de Serviços Compartilhados (CSC) - Fiscalização</v>
          </cell>
          <cell r="E33" t="str">
            <v>Cumprir a finalidade precípua do Conselho, garantindo a fiscalização do exercício profissional.</v>
          </cell>
          <cell r="F33" t="str">
            <v>Tornar a fiscalização um vetor de melhoria do exercício da Arquitetura e Urbanismo</v>
          </cell>
          <cell r="G33" t="str">
            <v>11 - Cidades e comunidades sustentáveis</v>
          </cell>
          <cell r="H33" t="str">
            <v>Garantia do funcionamento do CSC e dos demais Sistemas de Informação a ele vinculados.</v>
          </cell>
          <cell r="L33">
            <v>835776.41000000015</v>
          </cell>
        </row>
        <row r="34">
          <cell r="A34" t="str">
            <v>Gerência Técnica  de Fiscalização (Gertef) - Coordenação Técnica</v>
          </cell>
          <cell r="B34" t="str">
            <v>A</v>
          </cell>
          <cell r="D34" t="str">
            <v>Manter e Desenvolver as Atividades de Coordenação Técnica da GERTEF</v>
          </cell>
          <cell r="E34" t="str">
            <v>Manter a regularidade dos registros, anotação de títulos e acervo do profissional.</v>
          </cell>
          <cell r="F34" t="str">
            <v>Assegurar a eficácia no atendimento e no relacionamento com os Arquitetos e Urbanistas e a Sociedade</v>
          </cell>
          <cell r="G34" t="str">
            <v>11 - Cidades e comunidades sustentáveis</v>
          </cell>
          <cell r="H34" t="str">
            <v>Atendimento de solicitações e cumprimento dos prazos previstos na Carta de Serviços e normativos do CAU/BR; realização do assessoramento de Comissões.</v>
          </cell>
          <cell r="L34">
            <v>1753869.85</v>
          </cell>
        </row>
        <row r="35">
          <cell r="A35" t="str">
            <v>Gerência Técnica e Fiscalização (Gertef) -  Coordenação Técnica</v>
          </cell>
          <cell r="B35" t="str">
            <v>A</v>
          </cell>
          <cell r="D35" t="str">
            <v>Centro de Serviços Compartilhados (CSC) - Atendimento</v>
          </cell>
          <cell r="E35" t="str">
            <v>Assegurar o funcionamento do Centro de Serviços Compartilhados e Fundo de Reserva CSC relacionadas ao Atendimento.</v>
          </cell>
          <cell r="F35" t="str">
            <v>Assegurar a eficácia no atendimento e no relacionamento com os Arquitetos e Urbanistas e a Sociedade</v>
          </cell>
          <cell r="G35" t="str">
            <v>16 - Paz, justiça e instituições eficazes</v>
          </cell>
          <cell r="H35" t="str">
            <v>Garantia do funcionamento do CSC e dos demais Sistemas de Informação a ele vinculados.</v>
          </cell>
          <cell r="L35">
            <v>110251.54999999999</v>
          </cell>
        </row>
        <row r="36">
          <cell r="A36" t="str">
            <v>Gerência Jurídica (Gerjur)</v>
          </cell>
          <cell r="B36" t="str">
            <v>A</v>
          </cell>
          <cell r="D36" t="str">
            <v>Manter e Desenvolver as Atividades da Gerência Jurídica</v>
          </cell>
          <cell r="E36" t="str">
            <v>Preservar a imagem jurídica do CAU/MG e observar a legalidade dos processos internos.</v>
          </cell>
          <cell r="F36" t="str">
            <v>Aprimorar e inovar os processos e as ações</v>
          </cell>
          <cell r="G36" t="str">
            <v>16 - Paz, justiça e instituições eficazes</v>
          </cell>
          <cell r="H36" t="str">
            <v>Ajuizamento e defesa em ações do CAU/MG na Justiça; Cumprimento dos expedientes de rotina atribuída à Gerência pelos atos normativos do CAU/MG.</v>
          </cell>
          <cell r="L36">
            <v>684092.63</v>
          </cell>
        </row>
        <row r="37">
          <cell r="A37" t="str">
            <v>Gerência Administrativa e Financeira (GAF)</v>
          </cell>
          <cell r="B37" t="str">
            <v>A</v>
          </cell>
          <cell r="D37" t="str">
            <v>Fundo de Apoio aos CAU/UF</v>
          </cell>
          <cell r="E37" t="str">
            <v>Assegurar a sustentabilidade financeira do Sistema do CAU, apoiando os CAU/UF básicos.</v>
          </cell>
          <cell r="F37" t="str">
            <v>Assegurar a sustentabilidade financeira</v>
          </cell>
          <cell r="G37" t="str">
            <v>16 - Paz, justiça e instituições eficazes</v>
          </cell>
          <cell r="H37" t="str">
            <v>Garantia da sustentabilidade do Fundo de Apoio do CAU.</v>
          </cell>
          <cell r="L37">
            <v>164213.18</v>
          </cell>
        </row>
        <row r="38">
          <cell r="A38" t="str">
            <v>Gerência Administrativa e Financeira (GAF)</v>
          </cell>
          <cell r="B38" t="str">
            <v>A</v>
          </cell>
          <cell r="D38" t="str">
            <v>Reserva de Contingência</v>
          </cell>
          <cell r="E38" t="str">
            <v>Manter o Fundo para despesas não planejadas.</v>
          </cell>
          <cell r="F38" t="str">
            <v>Assegurar a sustentabilidade financeira</v>
          </cell>
          <cell r="G38" t="str">
            <v>16 - Paz, justiça e instituições eficazes</v>
          </cell>
          <cell r="H38" t="str">
            <v>Fomento de despesas extraordinárias do CAU/MG efetivado.</v>
          </cell>
          <cell r="L38">
            <v>60000</v>
          </cell>
        </row>
        <row r="39">
          <cell r="A39" t="str">
            <v>Gerência Administrativa e Financeira (GAF)</v>
          </cell>
          <cell r="B39" t="str">
            <v>A</v>
          </cell>
          <cell r="D39" t="str">
            <v>Manter e Desenvolver as Atividades da Gerência Administrativa e Financeira</v>
          </cell>
          <cell r="E39" t="str">
            <v>Observar a Sustentabilidade Financeira do CAU/MG e acompanhar a execução orçamentária e financeira.</v>
          </cell>
          <cell r="F39" t="str">
            <v>Assegurar a sustentabilidade financeira</v>
          </cell>
          <cell r="G39" t="str">
            <v>16 - Paz, justiça e instituições eficazes</v>
          </cell>
          <cell r="H39" t="str">
            <v>Desenvolvimento pleno das rotinas administrativas e financeiras do CAU/MG; Garantia da sustentabilidade financeira do CAU/MG; Elaboração e consolidação das propostas de Programação e Reprogramação Orçamentária.</v>
          </cell>
          <cell r="L39">
            <v>2403092.84</v>
          </cell>
        </row>
        <row r="40">
          <cell r="A40" t="str">
            <v>Gerência Especial de Planejamento e Gestão Estratégica (Geplan)</v>
          </cell>
          <cell r="B40" t="str">
            <v>A</v>
          </cell>
          <cell r="D40" t="str">
            <v>Manter e Desenvolver as Atividades da Gerência Especial de Planejamento e Gestão Estratégica</v>
          </cell>
          <cell r="E40" t="str">
            <v>Manter e Desenvolver as Atividades da Gerência Especial de Planejamento e Gestão Estratégica</v>
          </cell>
          <cell r="F40" t="str">
            <v>Aprimorar e inovar os processos e as ações</v>
          </cell>
          <cell r="G40" t="str">
            <v>17 - Parcerias e meios de implementação</v>
          </cell>
          <cell r="H40" t="str">
            <v>Elaboração dos Planos de Ação; Termos de cooperação técnica com municípios e órgãos públicos; Apoio à Presidência; Acompanhamento dos Indicadores Estratégicos revisados; Elaboração e consolidação das propostas de Programação e Reprogramação Orçamentária; Elaboração e consolidação dos Relatórios de Gestão; Atualização do fluxo de trabalho de processos operacionais padrão (POP).</v>
          </cell>
          <cell r="L40">
            <v>473178.64</v>
          </cell>
        </row>
        <row r="41">
          <cell r="A41" t="str">
            <v>Escritório Descentralizado Norte Minas</v>
          </cell>
          <cell r="B41" t="str">
            <v>A</v>
          </cell>
          <cell r="D41" t="str">
            <v>Manter e Desenvolver as Atividades do Escritório Descentralizado Norte de Minas</v>
          </cell>
          <cell r="E41" t="str">
            <v>Cumprir a finalidade precípua do Conselho, garantindo a fiscalização do exercício profissional na Regional Norte de Minas.</v>
          </cell>
          <cell r="F41" t="str">
            <v>Assegurar a eficácia no atendimento e no relacionamento com os Arquitetos e Urbanistas e a Sociedade</v>
          </cell>
          <cell r="G41" t="str">
            <v>11 - Cidades e comunidades sustentáveis</v>
          </cell>
          <cell r="H41" t="str">
            <v>Desenvolvimento das ações de atendimento planejadas para a Regional.</v>
          </cell>
          <cell r="L41">
            <v>151851.09999999998</v>
          </cell>
        </row>
        <row r="42">
          <cell r="A42" t="str">
            <v>Escritório Descentralizado Triângulo Mineiro e Alto Paranaíba</v>
          </cell>
          <cell r="B42" t="str">
            <v>A</v>
          </cell>
          <cell r="D42" t="str">
            <v>Manter e Desenvolver as Atividades do Escritório Descentralizado Triângulo Mineiro e Alto Paranaíba</v>
          </cell>
          <cell r="E42" t="str">
            <v>Cumprir a finalidade precípua do Conselho, garantindo a fiscalização do exercício profissional na Regional Triângulo Mineiro e Alto Paranaíba.</v>
          </cell>
          <cell r="F42" t="str">
            <v>Assegurar a eficácia no atendimento e no relacionamento com os Arquitetos e Urbanistas e a Sociedade</v>
          </cell>
          <cell r="G42" t="str">
            <v>11 - Cidades e comunidades sustentáveis</v>
          </cell>
          <cell r="H42" t="str">
            <v>Desenvolvimento das ações de atendimento planejadas para a Regional.</v>
          </cell>
          <cell r="L42">
            <v>173736.41</v>
          </cell>
        </row>
        <row r="43">
          <cell r="A43" t="str">
            <v>Escritório Descentralizado Zona da Mata e Vertentes</v>
          </cell>
          <cell r="B43" t="str">
            <v>A</v>
          </cell>
          <cell r="D43" t="str">
            <v>Manter e Desenvolver as Atividades do Escritório Descentralizado Zona da Mata e Vertentes.</v>
          </cell>
          <cell r="E43" t="str">
            <v>Cumprir a finalidade precípua do Conselho, garantindo a fiscalização do exercício profissional na Regional Zona da Mata e Vertentes.</v>
          </cell>
          <cell r="F43" t="str">
            <v>Assegurar a eficácia no atendimento e no relacionamento com os Arquitetos e Urbanistas e a Sociedade</v>
          </cell>
          <cell r="G43" t="str">
            <v>11 - Cidades e comunidades sustentáveis</v>
          </cell>
          <cell r="H43" t="str">
            <v>Desenvolvimento das ações de atendimento planejadas para a Regional.</v>
          </cell>
          <cell r="L43">
            <v>114181.18000000001</v>
          </cell>
        </row>
        <row r="44">
          <cell r="A44" t="str">
            <v>Escritório Descentralizado Sul de Minas</v>
          </cell>
          <cell r="B44" t="str">
            <v>A</v>
          </cell>
          <cell r="D44" t="str">
            <v>Manter e Desenvolver as Atividades do Escritório Descentralizado Sul de Minas</v>
          </cell>
          <cell r="E44" t="str">
            <v>Cumprir a finalidade precípua do Conselho, garantindo a fiscalização do exercício profissional na Regional Sul de Minas.</v>
          </cell>
          <cell r="F44" t="str">
            <v>Assegurar a eficácia no atendimento e no relacionamento com os Arquitetos e Urbanistas e a Sociedade</v>
          </cell>
          <cell r="G44" t="str">
            <v>11 - Cidades e comunidades sustentáveis</v>
          </cell>
          <cell r="H44" t="str">
            <v>Desenvolvimento das ações de atendimento planejadas para a Regional.</v>
          </cell>
          <cell r="L44">
            <v>120307.13999999998</v>
          </cell>
        </row>
        <row r="45">
          <cell r="A45" t="str">
            <v>Escritório Descentralizado Leste de Minas</v>
          </cell>
          <cell r="B45" t="str">
            <v>A</v>
          </cell>
          <cell r="D45" t="str">
            <v>Manter e Desenvolver as Atividades do Escritório Descentralizado Leste de Minas</v>
          </cell>
          <cell r="E45" t="str">
            <v>Cumprir a finalidade precípua do Conselho, garantindo a fiscalização do exercício profissional na Regional Leste de Minas.</v>
          </cell>
          <cell r="F45" t="str">
            <v>Assegurar a eficácia no atendimento e no relacionamento com os Arquitetos e Urbanistas e a Sociedade</v>
          </cell>
          <cell r="G45" t="str">
            <v>11 - Cidades e comunidades sustentáveis</v>
          </cell>
          <cell r="H45" t="str">
            <v>Desenvolvimento das ações de atendimento planejadas para a Regional.</v>
          </cell>
          <cell r="L45">
            <v>134840.14000000001</v>
          </cell>
        </row>
        <row r="46">
          <cell r="A46" t="str">
            <v>Colegiado das Entidades Estaduais de Arquitetos e Urbanistas do CAU/MG (CEAU)</v>
          </cell>
          <cell r="B46" t="str">
            <v>A</v>
          </cell>
          <cell r="D46" t="str">
            <v>Manter e Desenvolver as Atividades do Colegiado das Entidades Estaduais de Arquitetos e Urbanistas do CAU/MG</v>
          </cell>
          <cell r="E46" t="str">
            <v>Cumprir as competências do Colegiado conforme Regimento Interno e as ações previstas no seu Plano de Trabalho e no Plano de Ação do CAU/MG.</v>
          </cell>
          <cell r="F46" t="str">
            <v>Valorizar a Arquitetura e Urbanismo</v>
          </cell>
          <cell r="G46" t="str">
            <v>17 - Parcerias e meios de implementação</v>
          </cell>
          <cell r="H46" t="str">
            <v>Ações desenvolvidas voltadas à capacitação técnica, valorização profissional e conscientização da sociedade do papel do arquiteto e urbanista; Demandas administrativas relativas ao CEAU realizadas conforme previsões regimentais e pelos normativos do CAU.</v>
          </cell>
          <cell r="L46">
            <v>125344.75</v>
          </cell>
        </row>
        <row r="47">
          <cell r="A47" t="str">
            <v>Colegiado das Entidades Estaduais de Arquitetos e Urbanistas do CAU/MG (CEAU)</v>
          </cell>
          <cell r="B47" t="str">
            <v>P</v>
          </cell>
          <cell r="D47" t="str">
            <v>Edital de Patrocínio para Entidades de Arquitetos e Urbanistas</v>
          </cell>
          <cell r="E47" t="str">
            <v>Fortalecer a relação institucional com as entidades de arquitetos e urbanistas no sentido de fomentar o acesso da sociedade à arquitetura e urbanismo.</v>
          </cell>
          <cell r="F47" t="str">
            <v>Estimular o conhecimento, o uso de processos criativos e a difusão das melhores práticas em Arquitetura e Urbanismo</v>
          </cell>
          <cell r="G47" t="str">
            <v>16 - Paz, justiça e instituições eficazes</v>
          </cell>
          <cell r="H47" t="str">
            <v>Lançamento de Edital de Patrocínio e firmar convênios específicos com o objetivo de valorizar a Arquitetura e Urbanismo em Minas Gerais.</v>
          </cell>
          <cell r="L47">
            <v>0</v>
          </cell>
        </row>
        <row r="48">
          <cell r="L48">
            <v>13152358.890000002</v>
          </cell>
        </row>
      </sheetData>
      <sheetData sheetId="5">
        <row r="8">
          <cell r="F8">
            <v>13152358.890000001</v>
          </cell>
        </row>
        <row r="9">
          <cell r="F9">
            <v>11883036.6</v>
          </cell>
        </row>
        <row r="10">
          <cell r="F10">
            <v>5994085.9000000004</v>
          </cell>
        </row>
        <row r="11">
          <cell r="F11">
            <v>5517555.1200000001</v>
          </cell>
        </row>
        <row r="12">
          <cell r="F12">
            <v>4794475.05</v>
          </cell>
        </row>
        <row r="13">
          <cell r="F13">
            <v>723080.07</v>
          </cell>
        </row>
        <row r="14">
          <cell r="F14">
            <v>476530.78</v>
          </cell>
        </row>
        <row r="15">
          <cell r="F15">
            <v>366538.9</v>
          </cell>
        </row>
        <row r="16">
          <cell r="F16">
            <v>109991.88</v>
          </cell>
        </row>
        <row r="17">
          <cell r="F17">
            <v>5364068.88</v>
          </cell>
        </row>
        <row r="18">
          <cell r="F18">
            <v>524881.82000000007</v>
          </cell>
        </row>
        <row r="19">
          <cell r="F19">
            <v>1185138.92</v>
          </cell>
        </row>
        <row r="20">
          <cell r="F20">
            <v>84183.37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13152358.890000001</v>
          </cell>
        </row>
        <row r="27">
          <cell r="F27">
            <v>11982117.75</v>
          </cell>
        </row>
        <row r="28">
          <cell r="F28">
            <v>1016850.92</v>
          </cell>
        </row>
        <row r="29">
          <cell r="F29">
            <v>0</v>
          </cell>
        </row>
        <row r="30">
          <cell r="F30">
            <v>10965266.83</v>
          </cell>
        </row>
        <row r="31">
          <cell r="F31">
            <v>164213.18</v>
          </cell>
        </row>
        <row r="32">
          <cell r="F32">
            <v>946027.9600000002</v>
          </cell>
        </row>
        <row r="33">
          <cell r="F33">
            <v>60000</v>
          </cell>
        </row>
        <row r="34">
          <cell r="F34">
            <v>13152358.890000001</v>
          </cell>
        </row>
      </sheetData>
      <sheetData sheetId="6">
        <row r="5">
          <cell r="E5">
            <v>11883036.6</v>
          </cell>
          <cell r="L5">
            <v>6757904.4499999983</v>
          </cell>
        </row>
        <row r="6">
          <cell r="E6">
            <v>0</v>
          </cell>
          <cell r="L6">
            <v>819057.13</v>
          </cell>
        </row>
        <row r="7">
          <cell r="E7">
            <v>11883036.6</v>
          </cell>
          <cell r="L7">
            <v>13152358.890000001</v>
          </cell>
        </row>
        <row r="8">
          <cell r="E8">
            <v>164213.18</v>
          </cell>
        </row>
        <row r="9">
          <cell r="E9">
            <v>11718823.42</v>
          </cell>
        </row>
        <row r="12">
          <cell r="E12">
            <v>2634712.7800000003</v>
          </cell>
          <cell r="L12">
            <v>5938847.3199999984</v>
          </cell>
        </row>
        <row r="13">
          <cell r="E13">
            <v>0.22482741531060635</v>
          </cell>
          <cell r="L13">
            <v>0.4515423711951338</v>
          </cell>
        </row>
        <row r="14">
          <cell r="E14">
            <v>2626268.9100000006</v>
          </cell>
          <cell r="L14">
            <v>135158.09</v>
          </cell>
        </row>
        <row r="15">
          <cell r="E15">
            <v>0.22410687625157513</v>
          </cell>
          <cell r="L15">
            <v>2.0000000147974869E-2</v>
          </cell>
        </row>
        <row r="16">
          <cell r="E16">
            <v>771063.97</v>
          </cell>
        </row>
        <row r="17">
          <cell r="E17">
            <v>6.5797046543431909E-2</v>
          </cell>
        </row>
        <row r="18">
          <cell r="E18">
            <v>250200</v>
          </cell>
        </row>
        <row r="19">
          <cell r="E19">
            <v>2.1350266236881313E-2</v>
          </cell>
        </row>
        <row r="20">
          <cell r="E20">
            <v>3123341.6199999996</v>
          </cell>
        </row>
        <row r="21">
          <cell r="E21">
            <v>0.26652348175752272</v>
          </cell>
        </row>
        <row r="22">
          <cell r="E22">
            <v>300000</v>
          </cell>
        </row>
        <row r="23">
          <cell r="E23">
            <v>2.559983961256752E-2</v>
          </cell>
        </row>
        <row r="24">
          <cell r="E24">
            <v>60000</v>
          </cell>
        </row>
        <row r="25">
          <cell r="E25">
            <v>5.1199679225135044E-3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Validação de dados"/>
      <sheetName val="Diretrizes - Resumo"/>
      <sheetName val="Matriz de Obj. Estrat."/>
    </sheetNames>
    <sheetDataSet>
      <sheetData sheetId="0"/>
      <sheetData sheetId="1"/>
      <sheetData sheetId="2">
        <row r="2">
          <cell r="A2" t="str">
            <v xml:space="preserve">CAU/UF:  </v>
          </cell>
          <cell r="B2"/>
          <cell r="C2"/>
          <cell r="D2"/>
          <cell r="E2"/>
          <cell r="F2"/>
        </row>
      </sheetData>
      <sheetData sheetId="3">
        <row r="10">
          <cell r="H10">
            <v>154135.82</v>
          </cell>
        </row>
        <row r="18">
          <cell r="H18">
            <v>200000</v>
          </cell>
        </row>
        <row r="19">
          <cell r="H19">
            <v>35000</v>
          </cell>
        </row>
        <row r="20">
          <cell r="H20">
            <v>15200</v>
          </cell>
        </row>
        <row r="21">
          <cell r="H21">
            <v>300000</v>
          </cell>
        </row>
        <row r="24">
          <cell r="H24">
            <v>135158.09</v>
          </cell>
        </row>
        <row r="26">
          <cell r="H26">
            <v>771063.97239999997</v>
          </cell>
        </row>
        <row r="31">
          <cell r="H31">
            <v>1430264.7399999998</v>
          </cell>
        </row>
        <row r="32">
          <cell r="H32">
            <v>214535.81</v>
          </cell>
        </row>
        <row r="33">
          <cell r="H33">
            <v>835776.41000000015</v>
          </cell>
        </row>
        <row r="47">
          <cell r="H47">
            <v>0</v>
          </cell>
        </row>
      </sheetData>
      <sheetData sheetId="4">
        <row r="8">
          <cell r="C8">
            <v>13152358.890000001</v>
          </cell>
        </row>
        <row r="9">
          <cell r="C9">
            <v>11883036.600000001</v>
          </cell>
          <cell r="D9">
            <v>13100510.399999999</v>
          </cell>
        </row>
        <row r="21">
          <cell r="C21"/>
          <cell r="D21"/>
        </row>
        <row r="31">
          <cell r="C31">
            <v>164213.18</v>
          </cell>
        </row>
        <row r="33">
          <cell r="C33">
            <v>60000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900"/>
  </sheetPr>
  <dimension ref="A1:Y10"/>
  <sheetViews>
    <sheetView showGridLines="0" zoomScale="130" zoomScaleNormal="130" workbookViewId="0">
      <selection activeCell="A9" sqref="A9"/>
    </sheetView>
  </sheetViews>
  <sheetFormatPr defaultColWidth="0" defaultRowHeight="15.75" zeroHeight="1" x14ac:dyDescent="0.25"/>
  <cols>
    <col min="1" max="1" width="126.28515625" style="4" customWidth="1"/>
    <col min="2" max="2" width="9.140625" hidden="1" customWidth="1"/>
    <col min="3" max="25" width="0" hidden="1" customWidth="1"/>
    <col min="26" max="16384" width="9.140625" hidden="1"/>
  </cols>
  <sheetData>
    <row r="1" spans="1:11" ht="16.5" thickBot="1" x14ac:dyDescent="0.3">
      <c r="A1" s="278" t="s">
        <v>328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39.75" customHeight="1" thickBot="1" x14ac:dyDescent="0.3">
      <c r="A2" s="17" t="s">
        <v>329</v>
      </c>
    </row>
    <row r="3" spans="1:11" ht="39.75" customHeight="1" thickBot="1" x14ac:dyDescent="0.3">
      <c r="A3" s="208" t="s">
        <v>356</v>
      </c>
    </row>
    <row r="4" spans="1:11" ht="39.75" customHeight="1" thickBot="1" x14ac:dyDescent="0.3">
      <c r="A4" s="209" t="s">
        <v>357</v>
      </c>
    </row>
    <row r="5" spans="1:11" ht="59.25" customHeight="1" thickBot="1" x14ac:dyDescent="0.3">
      <c r="A5" s="208" t="s">
        <v>358</v>
      </c>
    </row>
    <row r="6" spans="1:11" ht="39.75" customHeight="1" thickBot="1" x14ac:dyDescent="0.3">
      <c r="A6" s="18" t="s">
        <v>350</v>
      </c>
    </row>
    <row r="7" spans="1:11" ht="57.75" customHeight="1" thickBot="1" x14ac:dyDescent="0.3">
      <c r="A7" s="17" t="s">
        <v>351</v>
      </c>
    </row>
    <row r="8" spans="1:11" ht="36" customHeight="1" thickBot="1" x14ac:dyDescent="0.3">
      <c r="A8" s="19" t="s">
        <v>319</v>
      </c>
    </row>
    <row r="9" spans="1:11" ht="42" customHeight="1" thickBot="1" x14ac:dyDescent="0.3">
      <c r="A9" s="17" t="s">
        <v>330</v>
      </c>
    </row>
    <row r="10" spans="1:11" x14ac:dyDescent="0.25"/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P36"/>
  <sheetViews>
    <sheetView showGridLines="0" topLeftCell="AH2" zoomScale="116" zoomScaleNormal="116" workbookViewId="0">
      <selection activeCell="AK17" sqref="AK17"/>
    </sheetView>
  </sheetViews>
  <sheetFormatPr defaultColWidth="0" defaultRowHeight="15.75" zeroHeight="1" x14ac:dyDescent="0.25"/>
  <cols>
    <col min="1" max="1" width="13.28515625" style="26" hidden="1" customWidth="1"/>
    <col min="2" max="2" width="15.42578125" style="25" hidden="1" customWidth="1"/>
    <col min="3" max="9" width="15.5703125" style="25" hidden="1" customWidth="1"/>
    <col min="10" max="10" width="16.140625" style="23" hidden="1" customWidth="1"/>
    <col min="11" max="11" width="13.28515625" style="24" hidden="1" customWidth="1"/>
    <col min="12" max="14" width="15.42578125" style="23" hidden="1" customWidth="1"/>
    <col min="15" max="15" width="2.28515625" style="23" hidden="1" customWidth="1"/>
    <col min="16" max="17" width="16.42578125" style="23" hidden="1" customWidth="1"/>
    <col min="18" max="18" width="5.7109375" style="22" hidden="1" customWidth="1"/>
    <col min="19" max="19" width="16.140625" style="23" hidden="1" customWidth="1"/>
    <col min="20" max="20" width="2.85546875" style="22" hidden="1" customWidth="1"/>
    <col min="21" max="21" width="16.42578125" style="20" hidden="1" customWidth="1"/>
    <col min="22" max="22" width="19.85546875" style="20" hidden="1" customWidth="1"/>
    <col min="23" max="23" width="16.42578125" style="21" hidden="1" customWidth="1"/>
    <col min="24" max="24" width="16.42578125" style="20" hidden="1" customWidth="1"/>
    <col min="25" max="25" width="16.42578125" style="21" hidden="1" customWidth="1"/>
    <col min="26" max="26" width="16.42578125" style="20" hidden="1" customWidth="1"/>
    <col min="27" max="27" width="2.85546875" hidden="1" customWidth="1"/>
    <col min="28" max="28" width="11.28515625" hidden="1" customWidth="1"/>
    <col min="29" max="29" width="3.28515625" hidden="1" customWidth="1"/>
    <col min="30" max="30" width="18.85546875" hidden="1" customWidth="1"/>
    <col min="31" max="31" width="4.7109375" hidden="1" customWidth="1"/>
    <col min="32" max="32" width="18.85546875" style="20" hidden="1" customWidth="1"/>
    <col min="33" max="33" width="9.85546875" hidden="1" customWidth="1"/>
    <col min="34" max="34" width="39.140625" style="4" bestFit="1" customWidth="1"/>
    <col min="35" max="35" width="16.42578125" style="4" bestFit="1" customWidth="1"/>
    <col min="36" max="36" width="1" customWidth="1"/>
    <col min="37" max="37" width="39" style="4" bestFit="1" customWidth="1"/>
    <col min="38" max="38" width="16.42578125" bestFit="1" customWidth="1"/>
    <col min="39" max="41" width="9.140625" hidden="1" customWidth="1"/>
    <col min="42" max="42" width="12.42578125" hidden="1" customWidth="1"/>
    <col min="43" max="16384" width="9.140625" hidden="1"/>
  </cols>
  <sheetData>
    <row r="1" spans="1:42" ht="16.5" hidden="1" customHeight="1" thickBot="1" x14ac:dyDescent="0.3">
      <c r="A1" s="428" t="s">
        <v>297</v>
      </c>
      <c r="B1" s="429">
        <v>0.8</v>
      </c>
      <c r="C1" s="429"/>
      <c r="D1" s="429"/>
      <c r="E1" s="429"/>
      <c r="F1" s="429"/>
      <c r="G1" s="429"/>
      <c r="H1" s="429"/>
      <c r="I1" s="429"/>
      <c r="J1" s="429"/>
      <c r="L1" s="437" t="s">
        <v>296</v>
      </c>
      <c r="M1" s="438"/>
      <c r="N1" s="439"/>
      <c r="P1" s="438" t="s">
        <v>295</v>
      </c>
      <c r="Q1" s="438"/>
      <c r="S1" s="438" t="s">
        <v>294</v>
      </c>
      <c r="U1" s="429" t="s">
        <v>293</v>
      </c>
      <c r="V1" s="429"/>
      <c r="W1" s="429"/>
      <c r="X1" s="429"/>
      <c r="Y1" s="429"/>
      <c r="Z1" s="429"/>
    </row>
    <row r="2" spans="1:42" s="49" customFormat="1" ht="16.5" thickBot="1" x14ac:dyDescent="0.3">
      <c r="A2" s="428"/>
      <c r="B2" s="430" t="s">
        <v>291</v>
      </c>
      <c r="C2" s="430"/>
      <c r="D2" s="430"/>
      <c r="E2" s="430" t="s">
        <v>290</v>
      </c>
      <c r="F2" s="430"/>
      <c r="G2" s="430"/>
      <c r="H2" s="431" t="s">
        <v>289</v>
      </c>
      <c r="I2" s="431" t="s">
        <v>292</v>
      </c>
      <c r="J2" s="436" t="s">
        <v>349</v>
      </c>
      <c r="K2" s="53"/>
      <c r="L2" s="440"/>
      <c r="M2" s="441"/>
      <c r="N2" s="442"/>
      <c r="O2" s="52"/>
      <c r="P2" s="441"/>
      <c r="Q2" s="441"/>
      <c r="R2" s="51"/>
      <c r="S2" s="441"/>
      <c r="T2" s="51"/>
      <c r="U2" s="430" t="s">
        <v>291</v>
      </c>
      <c r="V2" s="430"/>
      <c r="W2" s="430"/>
      <c r="X2" s="430" t="s">
        <v>290</v>
      </c>
      <c r="Y2" s="430"/>
      <c r="Z2" s="242" t="s">
        <v>289</v>
      </c>
      <c r="AB2" s="434" t="s">
        <v>267</v>
      </c>
      <c r="AD2" s="434" t="s">
        <v>582</v>
      </c>
      <c r="AF2" s="433" t="s">
        <v>315</v>
      </c>
      <c r="AH2" s="241" t="s">
        <v>288</v>
      </c>
      <c r="AI2" s="50" t="s">
        <v>258</v>
      </c>
      <c r="AK2" s="426" t="s">
        <v>287</v>
      </c>
      <c r="AL2" s="427"/>
    </row>
    <row r="3" spans="1:42" s="44" customFormat="1" ht="38.25" customHeight="1" thickBot="1" x14ac:dyDescent="0.3">
      <c r="A3" s="428"/>
      <c r="B3" s="240" t="s">
        <v>286</v>
      </c>
      <c r="C3" s="240" t="s">
        <v>285</v>
      </c>
      <c r="D3" s="240" t="s">
        <v>581</v>
      </c>
      <c r="E3" s="240" t="s">
        <v>286</v>
      </c>
      <c r="F3" s="240" t="s">
        <v>285</v>
      </c>
      <c r="G3" s="240" t="s">
        <v>581</v>
      </c>
      <c r="H3" s="432"/>
      <c r="I3" s="432"/>
      <c r="J3" s="432"/>
      <c r="K3" s="48"/>
      <c r="L3" s="240" t="s">
        <v>284</v>
      </c>
      <c r="M3" s="240" t="s">
        <v>283</v>
      </c>
      <c r="N3" s="240" t="s">
        <v>282</v>
      </c>
      <c r="O3" s="47"/>
      <c r="P3" s="239" t="s">
        <v>281</v>
      </c>
      <c r="Q3" s="239" t="s">
        <v>280</v>
      </c>
      <c r="R3" s="46"/>
      <c r="S3" s="238" t="s">
        <v>279</v>
      </c>
      <c r="T3" s="46"/>
      <c r="U3" s="237" t="s">
        <v>298</v>
      </c>
      <c r="V3" s="237" t="s">
        <v>299</v>
      </c>
      <c r="W3" s="235" t="s">
        <v>278</v>
      </c>
      <c r="X3" s="236" t="s">
        <v>277</v>
      </c>
      <c r="Y3" s="235" t="s">
        <v>278</v>
      </c>
      <c r="Z3" s="234" t="s">
        <v>277</v>
      </c>
      <c r="AB3" s="435"/>
      <c r="AD3" s="435"/>
      <c r="AF3" s="433"/>
      <c r="AH3" s="39" t="s">
        <v>8</v>
      </c>
      <c r="AI3" s="45">
        <f>AI4+AI14+AI15+AI16</f>
        <v>13153933.982799208</v>
      </c>
      <c r="AK3" s="39" t="s">
        <v>276</v>
      </c>
      <c r="AL3" s="38">
        <f>VLOOKUP($AI$2,'Diretrizes - Resumo'!$A$4:$Q$30,16,)</f>
        <v>976047.04</v>
      </c>
    </row>
    <row r="4" spans="1:42" ht="16.5" thickBot="1" x14ac:dyDescent="0.3">
      <c r="A4" s="232" t="s">
        <v>275</v>
      </c>
      <c r="B4" s="227">
        <v>202994.88</v>
      </c>
      <c r="C4" s="227">
        <v>40815.03</v>
      </c>
      <c r="D4" s="227">
        <f t="shared" ref="D4:D30" si="0">B4+C4</f>
        <v>243809.91</v>
      </c>
      <c r="E4" s="227">
        <v>25501.38</v>
      </c>
      <c r="F4" s="227">
        <v>10405.58</v>
      </c>
      <c r="G4" s="227">
        <f t="shared" ref="G4:G30" si="1">E4+F4</f>
        <v>35906.959999999999</v>
      </c>
      <c r="H4" s="227">
        <v>270509.02</v>
      </c>
      <c r="I4" s="227">
        <v>27929</v>
      </c>
      <c r="J4" s="231">
        <f t="shared" ref="J4:J30" si="2">D4+G4+H4+I4</f>
        <v>578154.89</v>
      </c>
      <c r="K4" s="230"/>
      <c r="L4" s="227">
        <v>7849.5067972020006</v>
      </c>
      <c r="M4" s="227">
        <v>23240</v>
      </c>
      <c r="N4" s="227">
        <v>801842.1399999999</v>
      </c>
      <c r="O4" s="229"/>
      <c r="P4" s="227">
        <v>42462.720000000001</v>
      </c>
      <c r="Q4" s="227">
        <v>5700.17</v>
      </c>
      <c r="R4" s="228"/>
      <c r="S4" s="227">
        <v>2825.667595819677</v>
      </c>
      <c r="T4" s="223"/>
      <c r="U4" s="225">
        <v>737</v>
      </c>
      <c r="V4" s="225">
        <v>726</v>
      </c>
      <c r="W4" s="226">
        <v>35.537190082644628</v>
      </c>
      <c r="X4" s="225">
        <v>178</v>
      </c>
      <c r="Y4" s="226">
        <v>51.685393258426963</v>
      </c>
      <c r="Z4" s="225">
        <v>2836</v>
      </c>
      <c r="AA4" s="224"/>
      <c r="AB4" s="223">
        <v>0</v>
      </c>
      <c r="AC4" s="224"/>
      <c r="AD4" s="223">
        <v>696237.88</v>
      </c>
      <c r="AE4" s="233"/>
      <c r="AF4" s="222">
        <v>906876</v>
      </c>
      <c r="AH4" s="33" t="s">
        <v>78</v>
      </c>
      <c r="AI4" s="43">
        <f>AI5+AI12+AI13</f>
        <v>13100510.399999999</v>
      </c>
      <c r="AK4" s="33" t="s">
        <v>274</v>
      </c>
      <c r="AL4" s="38">
        <f>VLOOKUP($AI$2,'Diretrizes - Resumo'!$A$4:$Q$30,17,)</f>
        <v>132355.51999999999</v>
      </c>
      <c r="AP4" s="28"/>
    </row>
    <row r="5" spans="1:42" ht="16.5" thickBot="1" x14ac:dyDescent="0.3">
      <c r="A5" s="232" t="s">
        <v>273</v>
      </c>
      <c r="B5" s="227">
        <v>625068.06999999995</v>
      </c>
      <c r="C5" s="227">
        <v>123638.42</v>
      </c>
      <c r="D5" s="227">
        <f t="shared" si="0"/>
        <v>748706.49</v>
      </c>
      <c r="E5" s="227">
        <v>26692.15</v>
      </c>
      <c r="F5" s="227">
        <v>22976.79</v>
      </c>
      <c r="G5" s="227">
        <f t="shared" si="1"/>
        <v>49668.94</v>
      </c>
      <c r="H5" s="227">
        <v>747715.18</v>
      </c>
      <c r="I5" s="227">
        <v>90965.9</v>
      </c>
      <c r="J5" s="231">
        <f t="shared" si="2"/>
        <v>1637056.5099999998</v>
      </c>
      <c r="K5" s="230"/>
      <c r="L5" s="227">
        <v>22219.208575567471</v>
      </c>
      <c r="M5" s="227">
        <v>0</v>
      </c>
      <c r="N5" s="227">
        <v>0</v>
      </c>
      <c r="O5" s="229"/>
      <c r="P5" s="227">
        <v>122662.23000000001</v>
      </c>
      <c r="Q5" s="227">
        <v>16353.56</v>
      </c>
      <c r="R5" s="228"/>
      <c r="S5" s="227">
        <v>6683.6945812537133</v>
      </c>
      <c r="T5" s="223"/>
      <c r="U5" s="225">
        <v>2290</v>
      </c>
      <c r="V5" s="225">
        <v>2186</v>
      </c>
      <c r="W5" s="226">
        <v>31.198536139066789</v>
      </c>
      <c r="X5" s="225">
        <v>184</v>
      </c>
      <c r="Y5" s="226">
        <v>51.086956521739133</v>
      </c>
      <c r="Z5" s="225">
        <v>7839</v>
      </c>
      <c r="AA5" s="224"/>
      <c r="AB5" s="223">
        <v>0</v>
      </c>
      <c r="AC5" s="224"/>
      <c r="AD5" s="223">
        <v>1113727.74</v>
      </c>
      <c r="AE5" s="223"/>
      <c r="AF5" s="222">
        <v>3365351</v>
      </c>
      <c r="AH5" s="33" t="s">
        <v>9</v>
      </c>
      <c r="AI5" s="43">
        <f>AI6+AI9</f>
        <v>6723629.2300000004</v>
      </c>
      <c r="AK5" s="33" t="s">
        <v>271</v>
      </c>
      <c r="AL5" s="38">
        <f>VLOOKUP($AI$2,'Diretrizes - Resumo'!$A$4:$R$30,12,)</f>
        <v>177637.14742876624</v>
      </c>
      <c r="AP5" s="28"/>
    </row>
    <row r="6" spans="1:42" ht="16.5" thickBot="1" x14ac:dyDescent="0.3">
      <c r="A6" s="232" t="s">
        <v>272</v>
      </c>
      <c r="B6" s="227">
        <v>706315.81</v>
      </c>
      <c r="C6" s="227">
        <v>146693.60999999999</v>
      </c>
      <c r="D6" s="227">
        <f t="shared" si="0"/>
        <v>853009.42</v>
      </c>
      <c r="E6" s="227">
        <v>45805.68</v>
      </c>
      <c r="F6" s="227">
        <v>25790.080000000002</v>
      </c>
      <c r="G6" s="227">
        <f t="shared" si="1"/>
        <v>71595.760000000009</v>
      </c>
      <c r="H6" s="227">
        <v>753724.37</v>
      </c>
      <c r="I6" s="227">
        <v>75292.3</v>
      </c>
      <c r="J6" s="231">
        <f t="shared" si="2"/>
        <v>1753621.85</v>
      </c>
      <c r="K6" s="230"/>
      <c r="L6" s="227">
        <v>23807.250852452125</v>
      </c>
      <c r="M6" s="227">
        <v>0</v>
      </c>
      <c r="N6" s="227">
        <v>0</v>
      </c>
      <c r="O6" s="229"/>
      <c r="P6" s="227">
        <v>129453.94</v>
      </c>
      <c r="Q6" s="227">
        <v>16941.43</v>
      </c>
      <c r="R6" s="228"/>
      <c r="S6" s="227">
        <v>6275.6212836130189</v>
      </c>
      <c r="T6" s="223"/>
      <c r="U6" s="225">
        <v>2436</v>
      </c>
      <c r="V6" s="225">
        <v>2412</v>
      </c>
      <c r="W6" s="226">
        <v>32.587064676616919</v>
      </c>
      <c r="X6" s="225">
        <v>318</v>
      </c>
      <c r="Y6" s="226">
        <v>50.943396226415096</v>
      </c>
      <c r="Z6" s="225">
        <v>7902</v>
      </c>
      <c r="AA6" s="224"/>
      <c r="AB6" s="223">
        <v>0</v>
      </c>
      <c r="AC6" s="224"/>
      <c r="AD6" s="223">
        <v>1430910.1800000002</v>
      </c>
      <c r="AE6" s="223"/>
      <c r="AF6" s="222">
        <v>4269995</v>
      </c>
      <c r="AH6" s="33" t="s">
        <v>10</v>
      </c>
      <c r="AI6" s="42">
        <f>SUM(AI7:AI8)</f>
        <v>6186551.7400000002</v>
      </c>
      <c r="AK6" s="33" t="s">
        <v>269</v>
      </c>
      <c r="AL6" s="38">
        <f>VLOOKUP($AI$2,'Diretrizes - Resumo'!$A$4:$M$30,13,)</f>
        <v>0</v>
      </c>
      <c r="AP6" s="28"/>
    </row>
    <row r="7" spans="1:42" ht="16.5" thickBot="1" x14ac:dyDescent="0.3">
      <c r="A7" s="232" t="s">
        <v>270</v>
      </c>
      <c r="B7" s="227">
        <v>229639.58</v>
      </c>
      <c r="C7" s="227">
        <v>70623.45</v>
      </c>
      <c r="D7" s="227">
        <f t="shared" si="0"/>
        <v>300263.02999999997</v>
      </c>
      <c r="E7" s="227">
        <v>33619.760000000002</v>
      </c>
      <c r="F7" s="227">
        <v>29503.1</v>
      </c>
      <c r="G7" s="227">
        <f t="shared" si="1"/>
        <v>63122.86</v>
      </c>
      <c r="H7" s="227">
        <v>348533.14</v>
      </c>
      <c r="I7" s="227">
        <v>38201.42</v>
      </c>
      <c r="J7" s="231">
        <f t="shared" si="2"/>
        <v>750120.45000000007</v>
      </c>
      <c r="K7" s="230"/>
      <c r="L7" s="227">
        <v>10183.268192807071</v>
      </c>
      <c r="M7" s="227">
        <v>21240</v>
      </c>
      <c r="N7" s="227">
        <v>695837.71900000004</v>
      </c>
      <c r="O7" s="229"/>
      <c r="P7" s="227">
        <v>54373.159999999996</v>
      </c>
      <c r="Q7" s="227">
        <v>7103.8700000000008</v>
      </c>
      <c r="R7" s="228"/>
      <c r="S7" s="227">
        <v>3098.2136371674242</v>
      </c>
      <c r="T7" s="223"/>
      <c r="U7" s="225">
        <v>915</v>
      </c>
      <c r="V7" s="225">
        <v>908</v>
      </c>
      <c r="W7" s="226">
        <v>39.977973568281946</v>
      </c>
      <c r="X7" s="225">
        <v>362</v>
      </c>
      <c r="Y7" s="226">
        <v>68.508287292817684</v>
      </c>
      <c r="Z7" s="225">
        <v>3654</v>
      </c>
      <c r="AA7" s="224"/>
      <c r="AB7" s="223">
        <v>0</v>
      </c>
      <c r="AC7" s="224"/>
      <c r="AD7" s="223">
        <v>827486.47</v>
      </c>
      <c r="AE7" s="223"/>
      <c r="AF7" s="222">
        <v>877613</v>
      </c>
      <c r="AH7" s="40" t="s">
        <v>338</v>
      </c>
      <c r="AI7" s="38">
        <f>VLOOKUP($AI$2,'Diretrizes - Resumo'!$A$4:$I$30,2,)</f>
        <v>5463471.6699999999</v>
      </c>
      <c r="AK7" s="33" t="s">
        <v>267</v>
      </c>
      <c r="AL7" s="38">
        <f>VLOOKUP($AI$2,'Diretrizes - Resumo'!$A$4:$AF$30,28,)</f>
        <v>0</v>
      </c>
      <c r="AP7" s="28"/>
    </row>
    <row r="8" spans="1:42" ht="16.5" thickBot="1" x14ac:dyDescent="0.3">
      <c r="A8" s="232" t="s">
        <v>268</v>
      </c>
      <c r="B8" s="227">
        <v>2050324.46</v>
      </c>
      <c r="C8" s="227">
        <v>369690.77</v>
      </c>
      <c r="D8" s="227">
        <f t="shared" si="0"/>
        <v>2420015.23</v>
      </c>
      <c r="E8" s="227">
        <v>172277.64</v>
      </c>
      <c r="F8" s="227">
        <v>99609.25</v>
      </c>
      <c r="G8" s="227">
        <f t="shared" si="1"/>
        <v>271886.89</v>
      </c>
      <c r="H8" s="227">
        <v>1814966.75</v>
      </c>
      <c r="I8" s="227">
        <v>201878.44</v>
      </c>
      <c r="J8" s="231">
        <f t="shared" si="2"/>
        <v>4708747.3100000005</v>
      </c>
      <c r="K8" s="230"/>
      <c r="L8" s="227">
        <v>63933.47699640358</v>
      </c>
      <c r="M8" s="227">
        <v>0</v>
      </c>
      <c r="N8" s="227">
        <v>0</v>
      </c>
      <c r="O8" s="229"/>
      <c r="P8" s="227">
        <v>358590.21</v>
      </c>
      <c r="Q8" s="227">
        <v>48403.97</v>
      </c>
      <c r="R8" s="228"/>
      <c r="S8" s="227">
        <v>15115.259010360656</v>
      </c>
      <c r="T8" s="223"/>
      <c r="U8" s="225">
        <v>7751</v>
      </c>
      <c r="V8" s="225">
        <v>6882</v>
      </c>
      <c r="W8" s="226">
        <v>27.956989247311824</v>
      </c>
      <c r="X8" s="225">
        <v>1177</v>
      </c>
      <c r="Y8" s="226">
        <v>50.2124044180119</v>
      </c>
      <c r="Z8" s="225">
        <v>19028</v>
      </c>
      <c r="AA8" s="224"/>
      <c r="AB8" s="223">
        <v>0</v>
      </c>
      <c r="AC8" s="224"/>
      <c r="AD8" s="223">
        <v>8528035.5800000001</v>
      </c>
      <c r="AE8" s="223"/>
      <c r="AF8" s="222">
        <v>14985284</v>
      </c>
      <c r="AH8" s="40" t="s">
        <v>76</v>
      </c>
      <c r="AI8" s="38">
        <f>VLOOKUP($AI$2,'Diretrizes - Resumo'!$A$4:$I$30,3,)</f>
        <v>723080.07</v>
      </c>
      <c r="AK8" s="33" t="s">
        <v>580</v>
      </c>
      <c r="AL8" s="38">
        <f>VLOOKUP($AI$2,'Diretrizes - Resumo'!$A$4:$AF$30,30,)</f>
        <v>13295439.140000001</v>
      </c>
      <c r="AP8" s="28"/>
    </row>
    <row r="9" spans="1:42" ht="16.5" thickBot="1" x14ac:dyDescent="0.3">
      <c r="A9" s="232" t="s">
        <v>266</v>
      </c>
      <c r="B9" s="227">
        <v>1411553.91</v>
      </c>
      <c r="C9" s="227">
        <v>211350.33</v>
      </c>
      <c r="D9" s="227">
        <f t="shared" si="0"/>
        <v>1622904.24</v>
      </c>
      <c r="E9" s="227">
        <v>86965.13</v>
      </c>
      <c r="F9" s="227">
        <v>56778.33</v>
      </c>
      <c r="G9" s="227">
        <f t="shared" si="1"/>
        <v>143743.46000000002</v>
      </c>
      <c r="H9" s="227">
        <v>1198213.81</v>
      </c>
      <c r="I9" s="227">
        <v>121352.98</v>
      </c>
      <c r="J9" s="231">
        <f t="shared" si="2"/>
        <v>3086214.4899999998</v>
      </c>
      <c r="K9" s="230"/>
      <c r="L9" s="227">
        <v>41570.892229057492</v>
      </c>
      <c r="M9" s="227">
        <v>0</v>
      </c>
      <c r="N9" s="227">
        <v>0</v>
      </c>
      <c r="O9" s="229"/>
      <c r="P9" s="227">
        <v>234380.2</v>
      </c>
      <c r="Q9" s="227">
        <v>31702.039999999997</v>
      </c>
      <c r="R9" s="228"/>
      <c r="S9" s="227">
        <v>9951.4238265560271</v>
      </c>
      <c r="T9" s="223"/>
      <c r="U9" s="225">
        <v>5077</v>
      </c>
      <c r="V9" s="225">
        <v>4859</v>
      </c>
      <c r="W9" s="226">
        <v>27.92755711051656</v>
      </c>
      <c r="X9" s="225">
        <v>515</v>
      </c>
      <c r="Y9" s="226">
        <v>42.524271844660198</v>
      </c>
      <c r="Z9" s="225">
        <v>12562</v>
      </c>
      <c r="AA9" s="224"/>
      <c r="AB9" s="223">
        <v>0</v>
      </c>
      <c r="AC9" s="224"/>
      <c r="AD9" s="223">
        <v>2159474.11</v>
      </c>
      <c r="AE9" s="223"/>
      <c r="AF9" s="222">
        <v>9240580</v>
      </c>
      <c r="AH9" s="33" t="s">
        <v>11</v>
      </c>
      <c r="AI9" s="41">
        <f>SUM(AI10:AI11)</f>
        <v>537077.49</v>
      </c>
      <c r="AP9" s="28"/>
    </row>
    <row r="10" spans="1:42" ht="16.5" thickBot="1" x14ac:dyDescent="0.3">
      <c r="A10" s="232" t="s">
        <v>265</v>
      </c>
      <c r="B10" s="227">
        <v>2045701.17</v>
      </c>
      <c r="C10" s="227">
        <v>405602.9</v>
      </c>
      <c r="D10" s="227">
        <f t="shared" si="0"/>
        <v>2451304.0699999998</v>
      </c>
      <c r="E10" s="227">
        <v>139236.57</v>
      </c>
      <c r="F10" s="227">
        <v>65835.460000000006</v>
      </c>
      <c r="G10" s="227">
        <f t="shared" si="1"/>
        <v>205072.03000000003</v>
      </c>
      <c r="H10" s="227">
        <v>1809816.02</v>
      </c>
      <c r="I10" s="227">
        <v>227700.96</v>
      </c>
      <c r="J10" s="231">
        <f t="shared" si="2"/>
        <v>4693893.0799999991</v>
      </c>
      <c r="K10" s="230"/>
      <c r="L10" s="227">
        <v>62772.108479586139</v>
      </c>
      <c r="M10" s="227">
        <v>0</v>
      </c>
      <c r="N10" s="227">
        <v>0</v>
      </c>
      <c r="O10" s="229"/>
      <c r="P10" s="227">
        <v>344323.3</v>
      </c>
      <c r="Q10" s="227">
        <v>51618.55</v>
      </c>
      <c r="R10" s="228"/>
      <c r="S10" s="227">
        <v>16656.044668483519</v>
      </c>
      <c r="T10" s="223"/>
      <c r="U10" s="225">
        <v>7037</v>
      </c>
      <c r="V10" s="225">
        <v>6465</v>
      </c>
      <c r="W10" s="226">
        <v>26.094354215003861</v>
      </c>
      <c r="X10" s="225">
        <v>954</v>
      </c>
      <c r="Y10" s="226">
        <v>50.314465408805034</v>
      </c>
      <c r="Z10" s="225">
        <v>18974</v>
      </c>
      <c r="AA10" s="224"/>
      <c r="AB10" s="223">
        <v>0</v>
      </c>
      <c r="AC10" s="224"/>
      <c r="AD10" s="223">
        <v>1094071.98</v>
      </c>
      <c r="AE10" s="223"/>
      <c r="AF10" s="222">
        <v>3094325</v>
      </c>
      <c r="AH10" s="40" t="s">
        <v>339</v>
      </c>
      <c r="AI10" s="38">
        <f>VLOOKUP($AI$2,'Diretrizes - Resumo'!$A$4:$J$30,5,)</f>
        <v>427085.62</v>
      </c>
      <c r="AP10" s="28"/>
    </row>
    <row r="11" spans="1:42" ht="16.5" thickBot="1" x14ac:dyDescent="0.3">
      <c r="A11" s="232" t="s">
        <v>264</v>
      </c>
      <c r="B11" s="227">
        <v>1676380.55</v>
      </c>
      <c r="C11" s="227">
        <v>180452.62</v>
      </c>
      <c r="D11" s="227">
        <f t="shared" si="0"/>
        <v>1856833.17</v>
      </c>
      <c r="E11" s="227">
        <v>112433.13</v>
      </c>
      <c r="F11" s="227">
        <v>20060.740000000002</v>
      </c>
      <c r="G11" s="227">
        <f t="shared" si="1"/>
        <v>132493.87</v>
      </c>
      <c r="H11" s="227">
        <v>1691253.7</v>
      </c>
      <c r="I11" s="227">
        <v>174003.37</v>
      </c>
      <c r="J11" s="231">
        <f t="shared" si="2"/>
        <v>3854584.1100000003</v>
      </c>
      <c r="K11" s="230"/>
      <c r="L11" s="227">
        <v>51061.489925045076</v>
      </c>
      <c r="M11" s="227">
        <v>0</v>
      </c>
      <c r="N11" s="227">
        <v>0</v>
      </c>
      <c r="O11" s="229"/>
      <c r="P11" s="227">
        <v>265833.37</v>
      </c>
      <c r="Q11" s="227">
        <v>35639.56</v>
      </c>
      <c r="R11" s="228"/>
      <c r="S11" s="227">
        <v>13423.856983545831</v>
      </c>
      <c r="T11" s="223"/>
      <c r="U11" s="225">
        <v>4275</v>
      </c>
      <c r="V11" s="225">
        <v>4171</v>
      </c>
      <c r="W11" s="226">
        <v>7.3603452409494139</v>
      </c>
      <c r="X11" s="225">
        <v>501</v>
      </c>
      <c r="Y11" s="226">
        <v>23.752495009980038</v>
      </c>
      <c r="Z11" s="225">
        <v>17731</v>
      </c>
      <c r="AA11" s="224"/>
      <c r="AB11" s="223">
        <v>0</v>
      </c>
      <c r="AC11" s="224"/>
      <c r="AD11" s="223">
        <v>2731556.54</v>
      </c>
      <c r="AE11" s="223"/>
      <c r="AF11" s="222">
        <v>4108508</v>
      </c>
      <c r="AH11" s="40" t="s">
        <v>77</v>
      </c>
      <c r="AI11" s="38">
        <f>VLOOKUP($AI$2,'Diretrizes - Resumo'!$A$4:$I$30,6,)</f>
        <v>109991.87</v>
      </c>
      <c r="AP11" s="28"/>
    </row>
    <row r="12" spans="1:42" ht="16.5" thickBot="1" x14ac:dyDescent="0.3">
      <c r="A12" s="232" t="s">
        <v>262</v>
      </c>
      <c r="B12" s="227">
        <v>1640765.61</v>
      </c>
      <c r="C12" s="227">
        <v>317093.52</v>
      </c>
      <c r="D12" s="227">
        <f t="shared" si="0"/>
        <v>1957859.1300000001</v>
      </c>
      <c r="E12" s="227">
        <v>69915.98</v>
      </c>
      <c r="F12" s="227">
        <v>105216.82</v>
      </c>
      <c r="G12" s="227">
        <f t="shared" si="1"/>
        <v>175132.79999999999</v>
      </c>
      <c r="H12" s="227">
        <v>3013180.56</v>
      </c>
      <c r="I12" s="227">
        <v>141715.85999999999</v>
      </c>
      <c r="J12" s="231">
        <f t="shared" si="2"/>
        <v>5287888.3500000006</v>
      </c>
      <c r="K12" s="230"/>
      <c r="L12" s="227">
        <v>71888.610308980627</v>
      </c>
      <c r="M12" s="227">
        <v>0</v>
      </c>
      <c r="N12" s="227">
        <v>0</v>
      </c>
      <c r="O12" s="229"/>
      <c r="P12" s="227">
        <v>391144.23000000004</v>
      </c>
      <c r="Q12" s="227">
        <v>52651.67</v>
      </c>
      <c r="R12" s="228"/>
      <c r="S12" s="227">
        <v>22651.64544518659</v>
      </c>
      <c r="T12" s="223"/>
      <c r="U12" s="225">
        <v>5636</v>
      </c>
      <c r="V12" s="225">
        <v>5385</v>
      </c>
      <c r="W12" s="226">
        <v>27.483751160631385</v>
      </c>
      <c r="X12" s="225">
        <v>829</v>
      </c>
      <c r="Y12" s="226">
        <v>71.290711700844383</v>
      </c>
      <c r="Z12" s="225">
        <v>31590</v>
      </c>
      <c r="AA12" s="224"/>
      <c r="AB12" s="223">
        <v>0</v>
      </c>
      <c r="AC12" s="224"/>
      <c r="AD12" s="223">
        <v>3063345.5900000003</v>
      </c>
      <c r="AE12" s="223"/>
      <c r="AF12" s="222">
        <v>7206589</v>
      </c>
      <c r="AH12" s="35" t="s">
        <v>67</v>
      </c>
      <c r="AI12" s="38">
        <f>VLOOKUP($AI$2,'Diretrizes - Resumo'!$A$4:$I$30,8,)</f>
        <v>5744310.6299999999</v>
      </c>
      <c r="AP12" s="28"/>
    </row>
    <row r="13" spans="1:42" ht="16.5" thickBot="1" x14ac:dyDescent="0.3">
      <c r="A13" s="232" t="s">
        <v>261</v>
      </c>
      <c r="B13" s="227">
        <v>639385.15</v>
      </c>
      <c r="C13" s="227">
        <v>150841.01999999999</v>
      </c>
      <c r="D13" s="227">
        <f t="shared" si="0"/>
        <v>790226.17</v>
      </c>
      <c r="E13" s="227">
        <v>40936.870000000003</v>
      </c>
      <c r="F13" s="227">
        <v>44786.42</v>
      </c>
      <c r="G13" s="227">
        <f t="shared" si="1"/>
        <v>85723.290000000008</v>
      </c>
      <c r="H13" s="227">
        <v>565722.5</v>
      </c>
      <c r="I13" s="227">
        <v>62302.22</v>
      </c>
      <c r="J13" s="231">
        <f t="shared" si="2"/>
        <v>1503974.18</v>
      </c>
      <c r="K13" s="230"/>
      <c r="L13" s="227">
        <v>20414.656619415884</v>
      </c>
      <c r="M13" s="227">
        <v>21640</v>
      </c>
      <c r="N13" s="227">
        <v>148803.84</v>
      </c>
      <c r="O13" s="229"/>
      <c r="P13" s="227">
        <v>112371.37999999999</v>
      </c>
      <c r="Q13" s="227">
        <v>14792.460000000001</v>
      </c>
      <c r="R13" s="228"/>
      <c r="S13" s="227">
        <v>4529.2233391431946</v>
      </c>
      <c r="T13" s="223"/>
      <c r="U13" s="225">
        <v>2368</v>
      </c>
      <c r="V13" s="225">
        <v>2334</v>
      </c>
      <c r="W13" s="226">
        <v>34.918594687232215</v>
      </c>
      <c r="X13" s="225">
        <v>351</v>
      </c>
      <c r="Y13" s="226">
        <v>60.3988603988604</v>
      </c>
      <c r="Z13" s="225">
        <v>5931</v>
      </c>
      <c r="AA13" s="224"/>
      <c r="AB13" s="223">
        <v>0</v>
      </c>
      <c r="AC13" s="224"/>
      <c r="AD13" s="223">
        <v>380637.44</v>
      </c>
      <c r="AE13" s="223"/>
      <c r="AF13" s="222">
        <v>7153262</v>
      </c>
      <c r="AH13" s="35" t="s">
        <v>260</v>
      </c>
      <c r="AI13" s="38">
        <f>VLOOKUP($AI$2,'Diretrizes - Resumo'!$A$4:$I$30,9,)</f>
        <v>632570.54</v>
      </c>
      <c r="AP13" s="28"/>
    </row>
    <row r="14" spans="1:42" ht="16.5" thickBot="1" x14ac:dyDescent="0.3">
      <c r="A14" s="232" t="s">
        <v>258</v>
      </c>
      <c r="B14" s="227">
        <v>5463471.6699999999</v>
      </c>
      <c r="C14" s="227">
        <v>723080.07</v>
      </c>
      <c r="D14" s="227">
        <f t="shared" si="0"/>
        <v>6186551.7400000002</v>
      </c>
      <c r="E14" s="227">
        <v>427085.62</v>
      </c>
      <c r="F14" s="227">
        <v>109991.87</v>
      </c>
      <c r="G14" s="227">
        <f t="shared" si="1"/>
        <v>537077.49</v>
      </c>
      <c r="H14" s="227">
        <v>5744310.6299999999</v>
      </c>
      <c r="I14" s="227">
        <v>632570.54</v>
      </c>
      <c r="J14" s="231">
        <f t="shared" si="2"/>
        <v>13100510.399999999</v>
      </c>
      <c r="K14" s="230"/>
      <c r="L14" s="227">
        <v>177637.14742876624</v>
      </c>
      <c r="M14" s="227">
        <v>0</v>
      </c>
      <c r="N14" s="227">
        <v>0</v>
      </c>
      <c r="O14" s="229"/>
      <c r="P14" s="227">
        <v>976047.04</v>
      </c>
      <c r="Q14" s="227">
        <v>132355.51999999999</v>
      </c>
      <c r="R14" s="228"/>
      <c r="S14" s="227">
        <v>53423.58279920862</v>
      </c>
      <c r="T14" s="223"/>
      <c r="U14" s="225">
        <v>18556</v>
      </c>
      <c r="V14" s="225">
        <v>17755</v>
      </c>
      <c r="W14" s="226">
        <v>26.76429174880316</v>
      </c>
      <c r="X14" s="225">
        <v>2197</v>
      </c>
      <c r="Y14" s="226">
        <v>33.818843878015485</v>
      </c>
      <c r="Z14" s="225">
        <v>60223</v>
      </c>
      <c r="AA14" s="224"/>
      <c r="AB14" s="223">
        <v>0</v>
      </c>
      <c r="AC14" s="224"/>
      <c r="AD14" s="223">
        <v>13295439.140000001</v>
      </c>
      <c r="AE14" s="223"/>
      <c r="AF14" s="222">
        <v>21411923</v>
      </c>
      <c r="AH14" s="35" t="s">
        <v>12</v>
      </c>
      <c r="AI14" s="37"/>
      <c r="AP14" s="28"/>
    </row>
    <row r="15" spans="1:42" ht="16.5" thickBot="1" x14ac:dyDescent="0.3">
      <c r="A15" s="232" t="s">
        <v>256</v>
      </c>
      <c r="B15" s="227">
        <v>975895.88</v>
      </c>
      <c r="C15" s="227">
        <v>293680.92</v>
      </c>
      <c r="D15" s="227">
        <f t="shared" si="0"/>
        <v>1269576.8</v>
      </c>
      <c r="E15" s="227">
        <v>101193.15</v>
      </c>
      <c r="F15" s="227">
        <v>64930.82</v>
      </c>
      <c r="G15" s="227">
        <f t="shared" si="1"/>
        <v>166123.97</v>
      </c>
      <c r="H15" s="227">
        <v>2214721.1</v>
      </c>
      <c r="I15" s="227">
        <v>151423.26</v>
      </c>
      <c r="J15" s="231">
        <f t="shared" si="2"/>
        <v>3801845.13</v>
      </c>
      <c r="K15" s="230"/>
      <c r="L15" s="227">
        <v>51608.825125193689</v>
      </c>
      <c r="M15" s="227">
        <v>0</v>
      </c>
      <c r="N15" s="227">
        <v>0</v>
      </c>
      <c r="O15" s="229"/>
      <c r="P15" s="227">
        <v>278241.62</v>
      </c>
      <c r="Q15" s="227">
        <v>37184.04</v>
      </c>
      <c r="R15" s="228"/>
      <c r="S15" s="227">
        <v>15875.728406992448</v>
      </c>
      <c r="T15" s="223"/>
      <c r="U15" s="225">
        <v>3757</v>
      </c>
      <c r="V15" s="225">
        <v>3643</v>
      </c>
      <c r="W15" s="226">
        <v>36.288772989294536</v>
      </c>
      <c r="X15" s="225">
        <v>714</v>
      </c>
      <c r="Y15" s="226">
        <v>51.680672268907564</v>
      </c>
      <c r="Z15" s="225">
        <v>23219</v>
      </c>
      <c r="AA15" s="224"/>
      <c r="AB15" s="223">
        <v>0</v>
      </c>
      <c r="AC15" s="224"/>
      <c r="AD15" s="223">
        <v>1541058.7</v>
      </c>
      <c r="AE15" s="223"/>
      <c r="AF15" s="222">
        <v>2839188</v>
      </c>
      <c r="AH15" s="35" t="s">
        <v>130</v>
      </c>
      <c r="AI15" s="34">
        <f>VLOOKUP($AI$2,'Diretrizes - Resumo'!$A$4:$S$30,19,)</f>
        <v>53423.58279920862</v>
      </c>
      <c r="AP15" s="28"/>
    </row>
    <row r="16" spans="1:42" ht="16.5" thickBot="1" x14ac:dyDescent="0.3">
      <c r="A16" s="232" t="s">
        <v>254</v>
      </c>
      <c r="B16" s="227">
        <v>1248122.46</v>
      </c>
      <c r="C16" s="227">
        <v>167836.06</v>
      </c>
      <c r="D16" s="227">
        <f t="shared" si="0"/>
        <v>1415958.52</v>
      </c>
      <c r="E16" s="227">
        <v>112433.13</v>
      </c>
      <c r="F16" s="227">
        <v>58593.32</v>
      </c>
      <c r="G16" s="227">
        <f t="shared" si="1"/>
        <v>171026.45</v>
      </c>
      <c r="H16" s="227">
        <v>3353606.06</v>
      </c>
      <c r="I16" s="227">
        <v>141424.85</v>
      </c>
      <c r="J16" s="231">
        <f t="shared" si="2"/>
        <v>5082015.88</v>
      </c>
      <c r="K16" s="230"/>
      <c r="L16" s="227">
        <v>69018.741794943315</v>
      </c>
      <c r="M16" s="227">
        <v>0</v>
      </c>
      <c r="N16" s="227">
        <v>0</v>
      </c>
      <c r="O16" s="229"/>
      <c r="P16" s="227">
        <v>366667.87</v>
      </c>
      <c r="Q16" s="227">
        <v>49544.39</v>
      </c>
      <c r="R16" s="228"/>
      <c r="S16" s="227">
        <v>20743.705403481687</v>
      </c>
      <c r="T16" s="223"/>
      <c r="U16" s="225">
        <v>3746</v>
      </c>
      <c r="V16" s="225">
        <v>3673</v>
      </c>
      <c r="W16" s="226">
        <v>22.352300571739718</v>
      </c>
      <c r="X16" s="225">
        <v>780</v>
      </c>
      <c r="Y16" s="226">
        <v>51.025641025641029</v>
      </c>
      <c r="Z16" s="225">
        <v>35159</v>
      </c>
      <c r="AA16" s="224"/>
      <c r="AB16" s="223">
        <v>0</v>
      </c>
      <c r="AC16" s="224"/>
      <c r="AD16" s="223">
        <v>2597478.37</v>
      </c>
      <c r="AE16" s="223"/>
      <c r="AF16" s="222">
        <v>3567234</v>
      </c>
      <c r="AH16" s="35" t="s">
        <v>13</v>
      </c>
      <c r="AI16" s="34">
        <f>VLOOKUP($AI$2,'Diretrizes - Resumo'!$A$4:$N$30,14,)</f>
        <v>0</v>
      </c>
      <c r="AP16" s="28"/>
    </row>
    <row r="17" spans="1:42" ht="16.5" thickBot="1" x14ac:dyDescent="0.3">
      <c r="A17" s="232" t="s">
        <v>252</v>
      </c>
      <c r="B17" s="227">
        <v>764790.76</v>
      </c>
      <c r="C17" s="227">
        <v>309741.53000000003</v>
      </c>
      <c r="D17" s="227">
        <f t="shared" si="0"/>
        <v>1074532.29</v>
      </c>
      <c r="E17" s="227">
        <v>56539.3</v>
      </c>
      <c r="F17" s="227">
        <v>38300.33</v>
      </c>
      <c r="G17" s="227">
        <f t="shared" si="1"/>
        <v>94839.63</v>
      </c>
      <c r="H17" s="227">
        <v>1041402.51</v>
      </c>
      <c r="I17" s="227">
        <v>83822.97</v>
      </c>
      <c r="J17" s="231">
        <f t="shared" si="2"/>
        <v>2294597.4</v>
      </c>
      <c r="K17" s="230"/>
      <c r="L17" s="227">
        <v>31114.72364474017</v>
      </c>
      <c r="M17" s="227">
        <v>0</v>
      </c>
      <c r="N17" s="227">
        <v>0</v>
      </c>
      <c r="O17" s="229"/>
      <c r="P17" s="227">
        <v>174486.43</v>
      </c>
      <c r="Q17" s="227">
        <v>22971.21</v>
      </c>
      <c r="R17" s="228"/>
      <c r="S17" s="227">
        <v>8808.5567345411091</v>
      </c>
      <c r="T17" s="223"/>
      <c r="U17" s="225">
        <v>3398</v>
      </c>
      <c r="V17" s="225">
        <v>3215</v>
      </c>
      <c r="W17" s="226">
        <v>41.119751166407468</v>
      </c>
      <c r="X17" s="225">
        <v>530</v>
      </c>
      <c r="Y17" s="226">
        <v>63.773584905660378</v>
      </c>
      <c r="Z17" s="225">
        <v>10918</v>
      </c>
      <c r="AA17" s="224"/>
      <c r="AB17" s="223">
        <v>0</v>
      </c>
      <c r="AC17" s="224"/>
      <c r="AD17" s="223">
        <v>1767232.6800000002</v>
      </c>
      <c r="AE17" s="223"/>
      <c r="AF17" s="222">
        <v>8777124</v>
      </c>
      <c r="AH17" s="11"/>
      <c r="AI17" s="31"/>
      <c r="AP17" s="28"/>
    </row>
    <row r="18" spans="1:42" ht="16.5" thickBot="1" x14ac:dyDescent="0.3">
      <c r="A18" s="232" t="s">
        <v>251</v>
      </c>
      <c r="B18" s="227">
        <v>955688.86</v>
      </c>
      <c r="C18" s="227">
        <v>187428.75</v>
      </c>
      <c r="D18" s="227">
        <f t="shared" si="0"/>
        <v>1143117.6099999999</v>
      </c>
      <c r="E18" s="227">
        <v>63656.1</v>
      </c>
      <c r="F18" s="227">
        <v>71933.320000000007</v>
      </c>
      <c r="G18" s="227">
        <f t="shared" si="1"/>
        <v>135589.42000000001</v>
      </c>
      <c r="H18" s="227">
        <v>972153.73</v>
      </c>
      <c r="I18" s="227">
        <v>99574.94</v>
      </c>
      <c r="J18" s="231">
        <f t="shared" si="2"/>
        <v>2350435.6999999997</v>
      </c>
      <c r="K18" s="230"/>
      <c r="L18" s="227">
        <v>31839.548451415096</v>
      </c>
      <c r="M18" s="227">
        <v>0</v>
      </c>
      <c r="N18" s="227">
        <v>0</v>
      </c>
      <c r="O18" s="229"/>
      <c r="P18" s="227">
        <v>173583.34000000003</v>
      </c>
      <c r="Q18" s="227">
        <v>23507.129999999997</v>
      </c>
      <c r="R18" s="228"/>
      <c r="S18" s="227">
        <v>9619.4465320246218</v>
      </c>
      <c r="T18" s="223"/>
      <c r="U18" s="225">
        <v>3372</v>
      </c>
      <c r="V18" s="225">
        <v>3284</v>
      </c>
      <c r="W18" s="226">
        <v>29.354445797807543</v>
      </c>
      <c r="X18" s="225">
        <v>580</v>
      </c>
      <c r="Y18" s="226">
        <v>62.586206896551722</v>
      </c>
      <c r="Z18" s="225">
        <v>10192</v>
      </c>
      <c r="AA18" s="224"/>
      <c r="AB18" s="223">
        <v>0</v>
      </c>
      <c r="AC18" s="224"/>
      <c r="AD18" s="223">
        <v>1876528.1500000001</v>
      </c>
      <c r="AE18" s="223"/>
      <c r="AF18" s="222">
        <v>4059905</v>
      </c>
      <c r="AH18" s="426" t="s">
        <v>263</v>
      </c>
      <c r="AI18" s="427"/>
      <c r="AP18" s="28"/>
    </row>
    <row r="19" spans="1:42" ht="16.5" thickBot="1" x14ac:dyDescent="0.3">
      <c r="A19" s="232" t="s">
        <v>224</v>
      </c>
      <c r="B19" s="227">
        <v>1786525.94</v>
      </c>
      <c r="C19" s="227">
        <v>315618.23</v>
      </c>
      <c r="D19" s="227">
        <f t="shared" si="0"/>
        <v>2102144.17</v>
      </c>
      <c r="E19" s="227">
        <v>124680.3</v>
      </c>
      <c r="F19" s="227">
        <v>48179.87</v>
      </c>
      <c r="G19" s="227">
        <f t="shared" si="1"/>
        <v>172860.17</v>
      </c>
      <c r="H19" s="227">
        <v>2092438.81</v>
      </c>
      <c r="I19" s="227">
        <v>240218.7</v>
      </c>
      <c r="J19" s="231">
        <f t="shared" si="2"/>
        <v>4607661.8500000006</v>
      </c>
      <c r="K19" s="230"/>
      <c r="L19" s="227">
        <v>60836.584012120846</v>
      </c>
      <c r="M19" s="227">
        <v>0</v>
      </c>
      <c r="N19" s="227">
        <v>0</v>
      </c>
      <c r="O19" s="229"/>
      <c r="P19" s="227">
        <v>330389.24</v>
      </c>
      <c r="Q19" s="227">
        <v>44977.119999999995</v>
      </c>
      <c r="R19" s="228"/>
      <c r="S19" s="227">
        <v>15331.914777521401</v>
      </c>
      <c r="T19" s="223"/>
      <c r="U19" s="225">
        <v>5806</v>
      </c>
      <c r="V19" s="225">
        <v>5305</v>
      </c>
      <c r="W19" s="226">
        <v>20.452403393025449</v>
      </c>
      <c r="X19" s="225">
        <v>645</v>
      </c>
      <c r="Y19" s="226">
        <v>35.348837209302332</v>
      </c>
      <c r="Z19" s="225">
        <v>21937</v>
      </c>
      <c r="AA19" s="224"/>
      <c r="AB19" s="223">
        <v>0</v>
      </c>
      <c r="AC19" s="224"/>
      <c r="AD19" s="223">
        <v>1408852.5400000003</v>
      </c>
      <c r="AE19" s="223"/>
      <c r="AF19" s="222">
        <v>9674793</v>
      </c>
      <c r="AH19" s="73" t="s">
        <v>312</v>
      </c>
      <c r="AI19" s="32">
        <f>VLOOKUP($AI$2,'Diretrizes - Resumo'!$A$4:$Z$30,21,)</f>
        <v>18556</v>
      </c>
      <c r="AP19" s="28"/>
    </row>
    <row r="20" spans="1:42" ht="16.5" thickBot="1" x14ac:dyDescent="0.3">
      <c r="A20" s="232" t="s">
        <v>250</v>
      </c>
      <c r="B20" s="227">
        <v>528813.75</v>
      </c>
      <c r="C20" s="227">
        <v>80184.649999999994</v>
      </c>
      <c r="D20" s="227">
        <f t="shared" si="0"/>
        <v>608998.40000000002</v>
      </c>
      <c r="E20" s="227">
        <v>58175.21</v>
      </c>
      <c r="F20" s="227">
        <v>26573.3</v>
      </c>
      <c r="G20" s="227">
        <f t="shared" si="1"/>
        <v>84748.51</v>
      </c>
      <c r="H20" s="227">
        <v>572113.23</v>
      </c>
      <c r="I20" s="227">
        <v>52739.15</v>
      </c>
      <c r="J20" s="231">
        <f t="shared" si="2"/>
        <v>1318599.29</v>
      </c>
      <c r="K20" s="230"/>
      <c r="L20" s="227">
        <v>17475.332981626962</v>
      </c>
      <c r="M20" s="227">
        <v>20840</v>
      </c>
      <c r="N20" s="227">
        <v>203702.21900000016</v>
      </c>
      <c r="O20" s="229"/>
      <c r="P20" s="227">
        <v>94325.459999999992</v>
      </c>
      <c r="Q20" s="227">
        <v>12334.92</v>
      </c>
      <c r="R20" s="228"/>
      <c r="S20" s="227">
        <v>3684.8947004142101</v>
      </c>
      <c r="T20" s="223"/>
      <c r="U20" s="225">
        <v>1698</v>
      </c>
      <c r="V20" s="225">
        <v>1650</v>
      </c>
      <c r="W20" s="226">
        <v>24.424242424242422</v>
      </c>
      <c r="X20" s="225">
        <v>344</v>
      </c>
      <c r="Y20" s="226">
        <v>42.441860465116278</v>
      </c>
      <c r="Z20" s="225">
        <v>5998</v>
      </c>
      <c r="AA20" s="224"/>
      <c r="AB20" s="223">
        <v>0</v>
      </c>
      <c r="AC20" s="224"/>
      <c r="AD20" s="223">
        <v>153232.93</v>
      </c>
      <c r="AE20" s="223"/>
      <c r="AF20" s="222">
        <v>3289290</v>
      </c>
      <c r="AH20" s="73" t="s">
        <v>313</v>
      </c>
      <c r="AI20" s="32">
        <f>VLOOKUP($AI$2,'Diretrizes - Resumo'!$A$4:$Z$30,22,)</f>
        <v>17755</v>
      </c>
      <c r="AP20" s="28"/>
    </row>
    <row r="21" spans="1:42" ht="16.5" thickBot="1" x14ac:dyDescent="0.3">
      <c r="A21" s="232" t="s">
        <v>249</v>
      </c>
      <c r="B21" s="227">
        <v>4208961.3899999997</v>
      </c>
      <c r="C21" s="227">
        <v>602505.25</v>
      </c>
      <c r="D21" s="227">
        <f t="shared" si="0"/>
        <v>4811466.6399999997</v>
      </c>
      <c r="E21" s="227">
        <v>470904.83</v>
      </c>
      <c r="F21" s="227">
        <v>148964.73000000001</v>
      </c>
      <c r="G21" s="227">
        <f t="shared" si="1"/>
        <v>619869.56000000006</v>
      </c>
      <c r="H21" s="227">
        <v>7094471.1500000004</v>
      </c>
      <c r="I21" s="227">
        <v>470973.5</v>
      </c>
      <c r="J21" s="231">
        <f t="shared" si="2"/>
        <v>12996780.85</v>
      </c>
      <c r="K21" s="230"/>
      <c r="L21" s="227">
        <v>176899.96729111284</v>
      </c>
      <c r="M21" s="227">
        <v>0</v>
      </c>
      <c r="N21" s="227">
        <v>0</v>
      </c>
      <c r="O21" s="229"/>
      <c r="P21" s="227">
        <v>971278.33000000007</v>
      </c>
      <c r="Q21" s="227">
        <v>132439.79999999999</v>
      </c>
      <c r="R21" s="228"/>
      <c r="S21" s="227">
        <v>62183.990069546693</v>
      </c>
      <c r="T21" s="223"/>
      <c r="U21" s="225">
        <v>15197</v>
      </c>
      <c r="V21" s="225">
        <v>14716</v>
      </c>
      <c r="W21" s="226">
        <v>31.14976895895623</v>
      </c>
      <c r="X21" s="225">
        <v>2887</v>
      </c>
      <c r="Y21" s="226">
        <v>44.44059577416003</v>
      </c>
      <c r="Z21" s="225">
        <v>74378</v>
      </c>
      <c r="AA21" s="224"/>
      <c r="AB21" s="223">
        <v>0</v>
      </c>
      <c r="AC21" s="224"/>
      <c r="AD21" s="223">
        <v>15395217.52</v>
      </c>
      <c r="AE21" s="223"/>
      <c r="AF21" s="222">
        <v>11597484</v>
      </c>
      <c r="AH21" s="72" t="s">
        <v>259</v>
      </c>
      <c r="AI21" s="36">
        <f>VLOOKUP($AI$2,'Diretrizes - Resumo'!$A$4:$Z$30,23,)</f>
        <v>26.76429174880316</v>
      </c>
      <c r="AP21" s="28"/>
    </row>
    <row r="22" spans="1:42" ht="16.5" thickBot="1" x14ac:dyDescent="0.3">
      <c r="A22" s="232" t="s">
        <v>248</v>
      </c>
      <c r="B22" s="227">
        <v>5047613.16</v>
      </c>
      <c r="C22" s="227">
        <v>1162226.3400000001</v>
      </c>
      <c r="D22" s="227">
        <f t="shared" si="0"/>
        <v>6209839.5</v>
      </c>
      <c r="E22" s="227">
        <v>577500.96</v>
      </c>
      <c r="F22" s="227">
        <v>227054.9</v>
      </c>
      <c r="G22" s="227">
        <f t="shared" si="1"/>
        <v>804555.86</v>
      </c>
      <c r="H22" s="227">
        <v>6247556.6200000001</v>
      </c>
      <c r="I22" s="227">
        <v>652996.89</v>
      </c>
      <c r="J22" s="231">
        <f t="shared" si="2"/>
        <v>13914948.870000001</v>
      </c>
      <c r="K22" s="230"/>
      <c r="L22" s="227">
        <v>188789.18558898367</v>
      </c>
      <c r="M22" s="227">
        <v>0</v>
      </c>
      <c r="N22" s="227">
        <v>0</v>
      </c>
      <c r="O22" s="229"/>
      <c r="P22" s="227">
        <v>1075482.27</v>
      </c>
      <c r="Q22" s="227">
        <v>152875.28</v>
      </c>
      <c r="R22" s="228"/>
      <c r="S22" s="227">
        <v>43466.481631030889</v>
      </c>
      <c r="T22" s="223"/>
      <c r="U22" s="225">
        <v>21884</v>
      </c>
      <c r="V22" s="225">
        <v>18063</v>
      </c>
      <c r="W22" s="226">
        <v>28.832419863810003</v>
      </c>
      <c r="X22" s="225">
        <v>3330</v>
      </c>
      <c r="Y22" s="226">
        <v>40.960960960960961</v>
      </c>
      <c r="Z22" s="225">
        <v>65499</v>
      </c>
      <c r="AA22" s="224"/>
      <c r="AB22" s="223">
        <v>0</v>
      </c>
      <c r="AC22" s="224"/>
      <c r="AD22" s="223">
        <v>8449374.1999999993</v>
      </c>
      <c r="AE22" s="223"/>
      <c r="AF22" s="222">
        <v>17463349</v>
      </c>
      <c r="AH22" s="33" t="s">
        <v>257</v>
      </c>
      <c r="AI22" s="32">
        <f>VLOOKUP($AI$2,'Diretrizes - Resumo'!$A$4:$Z$30,24,)</f>
        <v>2197</v>
      </c>
      <c r="AP22" s="28"/>
    </row>
    <row r="23" spans="1:42" ht="16.5" thickBot="1" x14ac:dyDescent="0.3">
      <c r="A23" s="232" t="s">
        <v>247</v>
      </c>
      <c r="B23" s="227">
        <v>754878.14</v>
      </c>
      <c r="C23" s="227">
        <v>193603.36</v>
      </c>
      <c r="D23" s="227">
        <f t="shared" si="0"/>
        <v>948481.5</v>
      </c>
      <c r="E23" s="227">
        <v>35979.050000000003</v>
      </c>
      <c r="F23" s="227">
        <v>49377.67</v>
      </c>
      <c r="G23" s="227">
        <f t="shared" si="1"/>
        <v>85356.72</v>
      </c>
      <c r="H23" s="227">
        <v>1029193.36</v>
      </c>
      <c r="I23" s="227">
        <v>80082.22</v>
      </c>
      <c r="J23" s="231">
        <f t="shared" si="2"/>
        <v>2143113.8000000003</v>
      </c>
      <c r="K23" s="230"/>
      <c r="L23" s="227">
        <v>29094.220065612964</v>
      </c>
      <c r="M23" s="227">
        <v>0</v>
      </c>
      <c r="N23" s="227">
        <v>0</v>
      </c>
      <c r="O23" s="229"/>
      <c r="P23" s="227">
        <v>161676.49000000002</v>
      </c>
      <c r="Q23" s="227">
        <v>22094.48</v>
      </c>
      <c r="R23" s="228"/>
      <c r="S23" s="227">
        <v>8332.9272770403641</v>
      </c>
      <c r="T23" s="223"/>
      <c r="U23" s="225">
        <v>2950</v>
      </c>
      <c r="V23" s="225">
        <v>2839</v>
      </c>
      <c r="W23" s="226">
        <v>36.033814723494181</v>
      </c>
      <c r="X23" s="225">
        <v>334</v>
      </c>
      <c r="Y23" s="226">
        <v>63.473053892215567</v>
      </c>
      <c r="Z23" s="225">
        <v>10790</v>
      </c>
      <c r="AA23" s="224"/>
      <c r="AB23" s="223">
        <v>0</v>
      </c>
      <c r="AC23" s="224"/>
      <c r="AD23" s="223">
        <v>1337995.67</v>
      </c>
      <c r="AE23" s="223"/>
      <c r="AF23" s="222">
        <v>3560903</v>
      </c>
      <c r="AH23" s="33" t="s">
        <v>255</v>
      </c>
      <c r="AI23" s="36">
        <f>VLOOKUP($AI$2,'Diretrizes - Resumo'!$A$4:$Z$30,25,)</f>
        <v>33.818843878015485</v>
      </c>
      <c r="AP23" s="28"/>
    </row>
    <row r="24" spans="1:42" ht="16.5" thickBot="1" x14ac:dyDescent="0.3">
      <c r="A24" s="232" t="s">
        <v>246</v>
      </c>
      <c r="B24" s="227">
        <v>448609.56</v>
      </c>
      <c r="C24" s="227">
        <v>76550.48</v>
      </c>
      <c r="D24" s="227">
        <f t="shared" si="0"/>
        <v>525160.04</v>
      </c>
      <c r="E24" s="227">
        <v>24944.95</v>
      </c>
      <c r="F24" s="227">
        <v>19144.3</v>
      </c>
      <c r="G24" s="227">
        <f t="shared" si="1"/>
        <v>44089.25</v>
      </c>
      <c r="H24" s="227">
        <v>895846.53</v>
      </c>
      <c r="I24" s="227">
        <v>61623.05</v>
      </c>
      <c r="J24" s="231">
        <f t="shared" si="2"/>
        <v>1526718.87</v>
      </c>
      <c r="K24" s="230"/>
      <c r="L24" s="227">
        <v>20687.616089652533</v>
      </c>
      <c r="M24" s="227">
        <v>0</v>
      </c>
      <c r="N24" s="227">
        <v>0</v>
      </c>
      <c r="O24" s="229"/>
      <c r="P24" s="227">
        <v>112267.04999999999</v>
      </c>
      <c r="Q24" s="227">
        <v>14947.61</v>
      </c>
      <c r="R24" s="228"/>
      <c r="S24" s="227" t="e">
        <v>#N/A</v>
      </c>
      <c r="T24" s="223"/>
      <c r="U24" s="225">
        <v>1535</v>
      </c>
      <c r="V24" s="225">
        <v>1512</v>
      </c>
      <c r="W24" s="226">
        <v>29.100529100529101</v>
      </c>
      <c r="X24" s="225">
        <v>250</v>
      </c>
      <c r="Y24" s="226">
        <v>66</v>
      </c>
      <c r="Z24" s="225">
        <v>9392</v>
      </c>
      <c r="AA24" s="224"/>
      <c r="AB24" s="223">
        <v>0</v>
      </c>
      <c r="AC24" s="224"/>
      <c r="AD24" s="223">
        <v>1555929.9900000002</v>
      </c>
      <c r="AE24" s="223"/>
      <c r="AF24" s="222">
        <v>1815278</v>
      </c>
      <c r="AH24" s="72" t="s">
        <v>253</v>
      </c>
      <c r="AI24" s="32">
        <f>VLOOKUP($AI$2,'Diretrizes - Resumo'!$A$4:$Z$30,26,)</f>
        <v>60223</v>
      </c>
      <c r="AP24" s="28"/>
    </row>
    <row r="25" spans="1:42" ht="16.5" thickBot="1" x14ac:dyDescent="0.3">
      <c r="A25" s="232" t="s">
        <v>245</v>
      </c>
      <c r="B25" s="227">
        <v>69985.279999999999</v>
      </c>
      <c r="C25" s="227">
        <v>16201.14</v>
      </c>
      <c r="D25" s="227">
        <f t="shared" si="0"/>
        <v>86186.42</v>
      </c>
      <c r="E25" s="227">
        <v>8096.12</v>
      </c>
      <c r="F25" s="227">
        <v>5896.86</v>
      </c>
      <c r="G25" s="227">
        <f t="shared" si="1"/>
        <v>13992.98</v>
      </c>
      <c r="H25" s="227">
        <v>132869.91</v>
      </c>
      <c r="I25" s="227">
        <v>8438.06</v>
      </c>
      <c r="J25" s="231">
        <f t="shared" si="2"/>
        <v>241487.37</v>
      </c>
      <c r="K25" s="230"/>
      <c r="L25" s="227">
        <v>3279.3750827216782</v>
      </c>
      <c r="M25" s="227">
        <v>23240</v>
      </c>
      <c r="N25" s="227">
        <v>1110325.2599999998</v>
      </c>
      <c r="O25" s="229"/>
      <c r="P25" s="227">
        <v>17814.099999999999</v>
      </c>
      <c r="Q25" s="227">
        <v>2330.5299999999997</v>
      </c>
      <c r="R25" s="228"/>
      <c r="S25" s="227">
        <v>823.21453514722532</v>
      </c>
      <c r="T25" s="223"/>
      <c r="U25" s="225">
        <v>266</v>
      </c>
      <c r="V25" s="225">
        <v>254</v>
      </c>
      <c r="W25" s="226">
        <v>35.433070866141733</v>
      </c>
      <c r="X25" s="225">
        <v>69</v>
      </c>
      <c r="Y25" s="226">
        <v>60.869565217391305</v>
      </c>
      <c r="Z25" s="225">
        <v>1393</v>
      </c>
      <c r="AA25" s="224"/>
      <c r="AB25" s="223">
        <v>0</v>
      </c>
      <c r="AC25" s="224"/>
      <c r="AD25" s="223">
        <v>72429.289999999994</v>
      </c>
      <c r="AE25" s="223"/>
      <c r="AF25" s="222">
        <v>652713</v>
      </c>
      <c r="AP25" s="28"/>
    </row>
    <row r="26" spans="1:42" ht="16.5" thickBot="1" x14ac:dyDescent="0.3">
      <c r="A26" s="232" t="s">
        <v>244</v>
      </c>
      <c r="B26" s="227">
        <v>5575933.9699999997</v>
      </c>
      <c r="C26" s="227">
        <v>1366648.02</v>
      </c>
      <c r="D26" s="227">
        <f t="shared" si="0"/>
        <v>6942581.9900000002</v>
      </c>
      <c r="E26" s="227">
        <v>614431.51</v>
      </c>
      <c r="F26" s="227">
        <v>253687.99</v>
      </c>
      <c r="G26" s="227">
        <f t="shared" si="1"/>
        <v>868119.5</v>
      </c>
      <c r="H26" s="227">
        <v>9724971.0999999996</v>
      </c>
      <c r="I26" s="227">
        <v>636613.46</v>
      </c>
      <c r="J26" s="231">
        <f t="shared" si="2"/>
        <v>18172286.050000001</v>
      </c>
      <c r="K26" s="230"/>
      <c r="L26" s="227">
        <v>240136.57118814671</v>
      </c>
      <c r="M26" s="227">
        <v>0</v>
      </c>
      <c r="N26" s="227">
        <v>0</v>
      </c>
      <c r="O26" s="229"/>
      <c r="P26" s="227">
        <v>1294703.27</v>
      </c>
      <c r="Q26" s="227">
        <v>174235.78</v>
      </c>
      <c r="R26" s="228"/>
      <c r="S26" s="227">
        <v>74064.543739277666</v>
      </c>
      <c r="T26" s="223"/>
      <c r="U26" s="225">
        <v>18850</v>
      </c>
      <c r="V26" s="225">
        <v>17536</v>
      </c>
      <c r="W26" s="226">
        <v>22.872947080291965</v>
      </c>
      <c r="X26" s="225">
        <v>3526</v>
      </c>
      <c r="Y26" s="226">
        <v>40.640952921157115</v>
      </c>
      <c r="Z26" s="225">
        <v>101956</v>
      </c>
      <c r="AA26" s="224"/>
      <c r="AB26" s="223">
        <v>0</v>
      </c>
      <c r="AC26" s="224"/>
      <c r="AD26" s="223">
        <v>20599967.039999999</v>
      </c>
      <c r="AE26" s="223"/>
      <c r="AF26" s="222">
        <v>11466630</v>
      </c>
      <c r="AH26" s="426" t="s">
        <v>316</v>
      </c>
      <c r="AI26" s="427"/>
      <c r="AP26" s="28"/>
    </row>
    <row r="27" spans="1:42" ht="16.5" thickBot="1" x14ac:dyDescent="0.3">
      <c r="A27" s="232" t="s">
        <v>243</v>
      </c>
      <c r="B27" s="227">
        <v>3932510.02</v>
      </c>
      <c r="C27" s="227">
        <v>700847.52</v>
      </c>
      <c r="D27" s="227">
        <f t="shared" si="0"/>
        <v>4633357.54</v>
      </c>
      <c r="E27" s="227">
        <v>371158.41</v>
      </c>
      <c r="F27" s="227">
        <v>196070.56</v>
      </c>
      <c r="G27" s="227">
        <f t="shared" si="1"/>
        <v>567228.97</v>
      </c>
      <c r="H27" s="227">
        <v>5982961.4000000004</v>
      </c>
      <c r="I27" s="227">
        <v>334647.55</v>
      </c>
      <c r="J27" s="231">
        <f t="shared" si="2"/>
        <v>11518195.460000001</v>
      </c>
      <c r="K27" s="230"/>
      <c r="L27" s="227">
        <v>153332.76783598113</v>
      </c>
      <c r="M27" s="227">
        <v>0</v>
      </c>
      <c r="N27" s="227">
        <v>0</v>
      </c>
      <c r="O27" s="229"/>
      <c r="P27" s="227">
        <v>822822.20000000007</v>
      </c>
      <c r="Q27" s="227">
        <v>110054.24999999999</v>
      </c>
      <c r="R27" s="228"/>
      <c r="S27" s="227">
        <v>46054.617664274905</v>
      </c>
      <c r="T27" s="223"/>
      <c r="U27" s="225">
        <v>12316</v>
      </c>
      <c r="V27" s="225">
        <v>11953</v>
      </c>
      <c r="W27" s="226">
        <v>22.555007111185475</v>
      </c>
      <c r="X27" s="225">
        <v>2230</v>
      </c>
      <c r="Y27" s="226">
        <v>43.318385650224215</v>
      </c>
      <c r="Z27" s="225">
        <v>62725</v>
      </c>
      <c r="AA27" s="224"/>
      <c r="AB27" s="223">
        <v>0</v>
      </c>
      <c r="AC27" s="224"/>
      <c r="AD27" s="223">
        <v>11221068.189999999</v>
      </c>
      <c r="AE27" s="223"/>
      <c r="AF27" s="222">
        <v>7338473</v>
      </c>
      <c r="AH27" s="40" t="s">
        <v>317</v>
      </c>
      <c r="AI27" s="32">
        <f>VLOOKUP($AI$2,A4:AF30,32,)</f>
        <v>21411923</v>
      </c>
      <c r="AP27" s="28"/>
    </row>
    <row r="28" spans="1:42" s="30" customFormat="1" ht="16.5" hidden="1" thickBot="1" x14ac:dyDescent="0.3">
      <c r="A28" s="232" t="s">
        <v>242</v>
      </c>
      <c r="B28" s="227">
        <v>518063.42</v>
      </c>
      <c r="C28" s="227">
        <v>73005.62</v>
      </c>
      <c r="D28" s="227">
        <f t="shared" si="0"/>
        <v>591069.04</v>
      </c>
      <c r="E28" s="227">
        <v>37258.839999999997</v>
      </c>
      <c r="F28" s="227">
        <v>15515.79</v>
      </c>
      <c r="G28" s="227">
        <f t="shared" si="1"/>
        <v>52774.63</v>
      </c>
      <c r="H28" s="227">
        <v>712518.48</v>
      </c>
      <c r="I28" s="227">
        <v>55784.99</v>
      </c>
      <c r="J28" s="231">
        <f t="shared" si="2"/>
        <v>1412147.14</v>
      </c>
      <c r="K28" s="230"/>
      <c r="L28" s="227">
        <v>19175.029705362474</v>
      </c>
      <c r="M28" s="227">
        <v>17240</v>
      </c>
      <c r="N28" s="227">
        <v>136294.87</v>
      </c>
      <c r="O28" s="229"/>
      <c r="P28" s="227">
        <v>105002.56999999999</v>
      </c>
      <c r="Q28" s="227">
        <v>14052.300000000001</v>
      </c>
      <c r="R28" s="228"/>
      <c r="S28" s="227">
        <v>4953.1259063128491</v>
      </c>
      <c r="T28" s="223"/>
      <c r="U28" s="225">
        <v>1762</v>
      </c>
      <c r="V28" s="225">
        <v>1723</v>
      </c>
      <c r="W28" s="226">
        <v>28.206616366802081</v>
      </c>
      <c r="X28" s="225">
        <v>208</v>
      </c>
      <c r="Y28" s="226">
        <v>39.423076923076927</v>
      </c>
      <c r="Z28" s="225">
        <v>7470</v>
      </c>
      <c r="AA28" s="224"/>
      <c r="AB28" s="223">
        <v>0</v>
      </c>
      <c r="AC28" s="224"/>
      <c r="AD28" s="223">
        <v>1227024.3099999998</v>
      </c>
      <c r="AE28" s="223"/>
      <c r="AF28" s="222">
        <v>2338474</v>
      </c>
      <c r="AK28" s="5"/>
      <c r="AP28" s="28"/>
    </row>
    <row r="29" spans="1:42" ht="16.5" hidden="1" thickBot="1" x14ac:dyDescent="0.3">
      <c r="A29" s="232" t="s">
        <v>241</v>
      </c>
      <c r="B29" s="227">
        <v>19184594.75</v>
      </c>
      <c r="C29" s="227">
        <v>4488928.33</v>
      </c>
      <c r="D29" s="227">
        <f t="shared" si="0"/>
        <v>23673523.079999998</v>
      </c>
      <c r="E29" s="227">
        <v>1386723.45</v>
      </c>
      <c r="F29" s="227">
        <v>535023.23</v>
      </c>
      <c r="G29" s="227">
        <f t="shared" si="1"/>
        <v>1921746.68</v>
      </c>
      <c r="H29" s="227">
        <v>34227213.020000003</v>
      </c>
      <c r="I29" s="227">
        <v>2575530.9700000002</v>
      </c>
      <c r="J29" s="231">
        <f t="shared" si="2"/>
        <v>62398013.75</v>
      </c>
      <c r="K29" s="230"/>
      <c r="L29" s="227">
        <v>831076.04685055313</v>
      </c>
      <c r="M29" s="227">
        <v>0</v>
      </c>
      <c r="N29" s="227">
        <v>0</v>
      </c>
      <c r="O29" s="229"/>
      <c r="P29" s="227">
        <v>4553266.6000000006</v>
      </c>
      <c r="Q29" s="227">
        <v>658982.64</v>
      </c>
      <c r="R29" s="228"/>
      <c r="S29" s="227">
        <v>217348.22621018143</v>
      </c>
      <c r="T29" s="223"/>
      <c r="U29" s="225">
        <v>68641</v>
      </c>
      <c r="V29" s="225">
        <v>63813</v>
      </c>
      <c r="W29" s="226">
        <v>28.321815304091643</v>
      </c>
      <c r="X29" s="225">
        <v>8521</v>
      </c>
      <c r="Y29" s="226">
        <v>44.572233305950007</v>
      </c>
      <c r="Z29" s="225">
        <v>358836</v>
      </c>
      <c r="AA29" s="224"/>
      <c r="AB29" s="223">
        <v>0</v>
      </c>
      <c r="AC29" s="224"/>
      <c r="AD29" s="223">
        <v>52203605.710000001</v>
      </c>
      <c r="AE29" s="223"/>
      <c r="AF29" s="222">
        <v>46649132</v>
      </c>
      <c r="AP29" s="28"/>
    </row>
    <row r="30" spans="1:42" ht="16.5" hidden="1" thickBot="1" x14ac:dyDescent="0.3">
      <c r="A30" s="232" t="s">
        <v>240</v>
      </c>
      <c r="B30" s="227">
        <v>282102.74</v>
      </c>
      <c r="C30" s="227">
        <v>50117.16</v>
      </c>
      <c r="D30" s="227">
        <f t="shared" si="0"/>
        <v>332219.90000000002</v>
      </c>
      <c r="E30" s="227">
        <v>30203.26</v>
      </c>
      <c r="F30" s="227">
        <v>22457.11</v>
      </c>
      <c r="G30" s="227">
        <f t="shared" si="1"/>
        <v>52660.369999999995</v>
      </c>
      <c r="H30" s="227">
        <v>558854.86</v>
      </c>
      <c r="I30" s="227">
        <v>43558.04</v>
      </c>
      <c r="J30" s="231">
        <f t="shared" si="2"/>
        <v>987293.17</v>
      </c>
      <c r="K30" s="230"/>
      <c r="L30" s="227">
        <v>13391.318819386348</v>
      </c>
      <c r="M30" s="227">
        <v>15240</v>
      </c>
      <c r="N30" s="227">
        <v>473379.53900000005</v>
      </c>
      <c r="O30" s="229"/>
      <c r="P30" s="227">
        <v>71524.09</v>
      </c>
      <c r="Q30" s="227">
        <v>9705.34</v>
      </c>
      <c r="R30" s="228"/>
      <c r="S30" s="227">
        <v>3738.5476814584417</v>
      </c>
      <c r="T30" s="223"/>
      <c r="U30" s="225">
        <v>968</v>
      </c>
      <c r="V30" s="225">
        <v>947</v>
      </c>
      <c r="W30" s="226">
        <v>27.666314677930302</v>
      </c>
      <c r="X30" s="225">
        <v>249</v>
      </c>
      <c r="Y30" s="226">
        <v>58.634538152610446</v>
      </c>
      <c r="Z30" s="225">
        <v>5859</v>
      </c>
      <c r="AA30" s="224"/>
      <c r="AB30" s="223">
        <v>0</v>
      </c>
      <c r="AC30" s="224"/>
      <c r="AD30" s="223">
        <v>920385.53</v>
      </c>
      <c r="AE30" s="223"/>
      <c r="AF30" s="222">
        <v>1607363</v>
      </c>
      <c r="AP30" s="28"/>
    </row>
    <row r="31" spans="1:42" hidden="1" x14ac:dyDescent="0.25">
      <c r="P31" s="27"/>
      <c r="Q31" s="27"/>
    </row>
    <row r="32" spans="1:42" hidden="1" x14ac:dyDescent="0.25">
      <c r="A32" s="26" t="s">
        <v>314</v>
      </c>
      <c r="B32" s="29">
        <v>2</v>
      </c>
      <c r="C32" s="29">
        <f t="shared" ref="C32:AF32" si="3">B32+1</f>
        <v>3</v>
      </c>
      <c r="D32" s="29">
        <f t="shared" si="3"/>
        <v>4</v>
      </c>
      <c r="E32" s="29">
        <f t="shared" si="3"/>
        <v>5</v>
      </c>
      <c r="F32" s="29">
        <f t="shared" si="3"/>
        <v>6</v>
      </c>
      <c r="G32" s="29">
        <f t="shared" si="3"/>
        <v>7</v>
      </c>
      <c r="H32" s="29">
        <f t="shared" si="3"/>
        <v>8</v>
      </c>
      <c r="I32" s="29">
        <f t="shared" si="3"/>
        <v>9</v>
      </c>
      <c r="J32" s="29">
        <f t="shared" si="3"/>
        <v>10</v>
      </c>
      <c r="K32" s="29">
        <f t="shared" si="3"/>
        <v>11</v>
      </c>
      <c r="L32" s="29">
        <f t="shared" si="3"/>
        <v>12</v>
      </c>
      <c r="M32" s="29">
        <f t="shared" si="3"/>
        <v>13</v>
      </c>
      <c r="N32" s="29">
        <f t="shared" si="3"/>
        <v>14</v>
      </c>
      <c r="O32" s="29">
        <f t="shared" si="3"/>
        <v>15</v>
      </c>
      <c r="P32" s="29">
        <f t="shared" si="3"/>
        <v>16</v>
      </c>
      <c r="Q32" s="29">
        <f t="shared" si="3"/>
        <v>17</v>
      </c>
      <c r="R32" s="29">
        <f t="shared" si="3"/>
        <v>18</v>
      </c>
      <c r="S32" s="29">
        <f t="shared" si="3"/>
        <v>19</v>
      </c>
      <c r="T32" s="29">
        <f t="shared" si="3"/>
        <v>20</v>
      </c>
      <c r="U32" s="29">
        <f t="shared" si="3"/>
        <v>21</v>
      </c>
      <c r="V32" s="29">
        <f t="shared" si="3"/>
        <v>22</v>
      </c>
      <c r="W32" s="29">
        <f t="shared" si="3"/>
        <v>23</v>
      </c>
      <c r="X32" s="29">
        <f t="shared" si="3"/>
        <v>24</v>
      </c>
      <c r="Y32" s="29">
        <f t="shared" si="3"/>
        <v>25</v>
      </c>
      <c r="Z32" s="29">
        <f t="shared" si="3"/>
        <v>26</v>
      </c>
      <c r="AA32" s="29">
        <f t="shared" si="3"/>
        <v>27</v>
      </c>
      <c r="AB32" s="29">
        <f t="shared" si="3"/>
        <v>28</v>
      </c>
      <c r="AC32" s="29">
        <f t="shared" si="3"/>
        <v>29</v>
      </c>
      <c r="AD32" s="29">
        <f t="shared" si="3"/>
        <v>30</v>
      </c>
      <c r="AE32" s="29">
        <f t="shared" si="3"/>
        <v>31</v>
      </c>
      <c r="AF32" s="29">
        <f t="shared" si="3"/>
        <v>32</v>
      </c>
    </row>
    <row r="33" spans="16:17" hidden="1" x14ac:dyDescent="0.25">
      <c r="P33" s="74"/>
      <c r="Q33" s="74"/>
    </row>
    <row r="34" spans="16:17" hidden="1" x14ac:dyDescent="0.25">
      <c r="P34" s="74"/>
      <c r="Q34" s="74"/>
    </row>
    <row r="35" spans="16:17" hidden="1" x14ac:dyDescent="0.25">
      <c r="P35" s="74"/>
      <c r="Q35" s="74"/>
    </row>
    <row r="36" spans="16:17" hidden="1" x14ac:dyDescent="0.25">
      <c r="P36" s="74"/>
      <c r="Q36" s="74"/>
    </row>
  </sheetData>
  <mergeCells count="19">
    <mergeCell ref="AH26:AI26"/>
    <mergeCell ref="H2:H3"/>
    <mergeCell ref="J2:J3"/>
    <mergeCell ref="L1:N2"/>
    <mergeCell ref="P1:Q2"/>
    <mergeCell ref="U1:Z1"/>
    <mergeCell ref="U2:W2"/>
    <mergeCell ref="X2:Y2"/>
    <mergeCell ref="S1:S2"/>
    <mergeCell ref="AB2:AB3"/>
    <mergeCell ref="AK2:AL2"/>
    <mergeCell ref="AH18:AI18"/>
    <mergeCell ref="A1:A3"/>
    <mergeCell ref="B1:J1"/>
    <mergeCell ref="E2:G2"/>
    <mergeCell ref="B2:D2"/>
    <mergeCell ref="I2:I3"/>
    <mergeCell ref="AF2:AF3"/>
    <mergeCell ref="AD2:AD3"/>
  </mergeCells>
  <dataValidations count="1">
    <dataValidation type="list" allowBlank="1" showInputMessage="1" showErrorMessage="1" sqref="AI2" xr:uid="{00000000-0002-0000-0900-000000000000}">
      <formula1>$A$4:$A$30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5"/>
  <sheetViews>
    <sheetView showGridLines="0" view="pageBreakPreview" topLeftCell="A3" zoomScale="90" zoomScaleNormal="100" zoomScaleSheetLayoutView="90" workbookViewId="0">
      <selection activeCell="N3" sqref="N3"/>
    </sheetView>
  </sheetViews>
  <sheetFormatPr defaultColWidth="0" defaultRowHeight="15.75" zeroHeight="1" x14ac:dyDescent="0.25"/>
  <cols>
    <col min="1" max="11" width="9.140625" style="4" customWidth="1"/>
    <col min="12" max="15" width="9.140625" customWidth="1"/>
    <col min="16" max="21" width="0" hidden="1" customWidth="1"/>
    <col min="22" max="16384" width="9.140625" hidden="1"/>
  </cols>
  <sheetData>
    <row r="1" spans="1:21" s="2" customFormat="1" ht="70.5" customHeight="1" x14ac:dyDescent="0.25">
      <c r="A1" s="282" t="s">
        <v>359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3"/>
      <c r="M1" s="3"/>
      <c r="N1" s="3"/>
      <c r="O1" s="3"/>
      <c r="P1" s="3"/>
    </row>
    <row r="2" spans="1:21" x14ac:dyDescent="0.25">
      <c r="A2" s="280" t="s">
        <v>505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21" ht="379.5" customHeight="1" x14ac:dyDescent="0.25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69"/>
      <c r="M3" s="70"/>
      <c r="N3" s="70"/>
      <c r="O3" s="70"/>
      <c r="P3" s="70"/>
      <c r="Q3" s="70"/>
      <c r="R3" s="70"/>
      <c r="S3" s="70"/>
      <c r="T3" s="70"/>
      <c r="U3" s="70"/>
    </row>
    <row r="4" spans="1:21" x14ac:dyDescent="0.25">
      <c r="A4" s="280" t="s">
        <v>128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"/>
      <c r="M4" s="1"/>
      <c r="N4" s="1"/>
      <c r="O4" s="1"/>
      <c r="P4" s="1"/>
    </row>
    <row r="5" spans="1:21" ht="300" customHeight="1" x14ac:dyDescent="0.25"/>
  </sheetData>
  <mergeCells count="4">
    <mergeCell ref="A4:K4"/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47625</xdr:colOff>
                <xdr:row>2</xdr:row>
                <xdr:rowOff>47625</xdr:rowOff>
              </from>
              <to>
                <xdr:col>11</xdr:col>
                <xdr:colOff>19050</xdr:colOff>
                <xdr:row>3</xdr:row>
                <xdr:rowOff>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27"/>
  <sheetViews>
    <sheetView showGridLines="0" view="pageBreakPreview" zoomScale="50" zoomScaleNormal="70" zoomScaleSheetLayoutView="50" workbookViewId="0">
      <selection activeCell="P5" sqref="P5"/>
    </sheetView>
  </sheetViews>
  <sheetFormatPr defaultColWidth="9.140625" defaultRowHeight="23.25" zeroHeight="1" x14ac:dyDescent="0.35"/>
  <cols>
    <col min="1" max="1" width="74.7109375" style="100" customWidth="1"/>
    <col min="2" max="2" width="81" style="101" customWidth="1"/>
    <col min="3" max="3" width="11.5703125" style="102" customWidth="1"/>
    <col min="4" max="4" width="16.42578125" style="101" customWidth="1"/>
    <col min="5" max="5" width="17" style="101" customWidth="1"/>
    <col min="6" max="6" width="17" style="103" customWidth="1"/>
    <col min="7" max="8" width="13.28515625" style="243" customWidth="1"/>
    <col min="9" max="16384" width="9.140625" style="243"/>
  </cols>
  <sheetData>
    <row r="1" spans="1:8" ht="48" customHeight="1" x14ac:dyDescent="0.35">
      <c r="A1" s="330" t="s">
        <v>360</v>
      </c>
      <c r="B1" s="331"/>
      <c r="C1" s="331"/>
      <c r="D1" s="331"/>
      <c r="E1" s="331"/>
      <c r="F1" s="331"/>
    </row>
    <row r="2" spans="1:8" ht="45" customHeight="1" x14ac:dyDescent="0.35">
      <c r="A2" s="332" t="s">
        <v>327</v>
      </c>
      <c r="B2" s="332"/>
      <c r="C2" s="332"/>
      <c r="D2" s="332"/>
      <c r="E2" s="332"/>
      <c r="F2" s="332"/>
    </row>
    <row r="3" spans="1:8" ht="45" customHeight="1" x14ac:dyDescent="0.35">
      <c r="A3" s="332" t="s">
        <v>33</v>
      </c>
      <c r="B3" s="332"/>
      <c r="C3" s="332"/>
      <c r="D3" s="332"/>
      <c r="E3" s="332"/>
      <c r="F3" s="332"/>
    </row>
    <row r="4" spans="1:8" ht="21" customHeight="1" thickBot="1" x14ac:dyDescent="0.4">
      <c r="A4" s="76"/>
      <c r="B4" s="76"/>
      <c r="C4" s="76"/>
      <c r="D4" s="76"/>
      <c r="E4" s="76"/>
      <c r="F4" s="77"/>
    </row>
    <row r="5" spans="1:8" ht="45" customHeight="1" x14ac:dyDescent="0.35">
      <c r="A5" s="301" t="s">
        <v>57</v>
      </c>
      <c r="B5" s="302"/>
      <c r="C5" s="302"/>
      <c r="D5" s="302"/>
      <c r="E5" s="303"/>
      <c r="F5" s="304"/>
    </row>
    <row r="6" spans="1:8" ht="45" customHeight="1" x14ac:dyDescent="0.35">
      <c r="A6" s="170" t="s">
        <v>19</v>
      </c>
      <c r="B6" s="305" t="s">
        <v>54</v>
      </c>
      <c r="C6" s="306"/>
      <c r="D6" s="203" t="s">
        <v>55</v>
      </c>
      <c r="E6" s="171" t="s">
        <v>331</v>
      </c>
      <c r="F6" s="172" t="s">
        <v>332</v>
      </c>
      <c r="G6" s="290" t="s">
        <v>584</v>
      </c>
      <c r="H6" s="291"/>
    </row>
    <row r="7" spans="1:8" ht="30.75" customHeight="1" x14ac:dyDescent="0.35">
      <c r="A7" s="307" t="s">
        <v>175</v>
      </c>
      <c r="B7" s="78" t="s">
        <v>586</v>
      </c>
      <c r="C7" s="309" t="s">
        <v>79</v>
      </c>
      <c r="D7" s="311" t="s">
        <v>74</v>
      </c>
      <c r="E7" s="319">
        <f>(315+2)/853</f>
        <v>0.37162954279015242</v>
      </c>
      <c r="F7" s="312">
        <f>(315+2)/853</f>
        <v>0.37162954279015242</v>
      </c>
      <c r="G7" s="287">
        <f>'[3]Indicadores e Metas'!$F$7:$F$8</f>
        <v>0.37162954279015242</v>
      </c>
      <c r="H7" s="289">
        <f>315/853</f>
        <v>0.36928487690504103</v>
      </c>
    </row>
    <row r="8" spans="1:8" ht="30.75" customHeight="1" x14ac:dyDescent="0.35">
      <c r="A8" s="308"/>
      <c r="B8" s="79" t="s">
        <v>513</v>
      </c>
      <c r="C8" s="310"/>
      <c r="D8" s="311"/>
      <c r="E8" s="319"/>
      <c r="F8" s="312"/>
      <c r="G8" s="287"/>
      <c r="H8" s="289"/>
    </row>
    <row r="9" spans="1:8" ht="24" customHeight="1" x14ac:dyDescent="0.35">
      <c r="A9" s="80"/>
      <c r="B9" s="76"/>
      <c r="C9" s="76"/>
      <c r="D9" s="76"/>
      <c r="E9" s="76"/>
      <c r="F9" s="77"/>
    </row>
    <row r="10" spans="1:8" ht="45" customHeight="1" x14ac:dyDescent="0.35">
      <c r="A10" s="295" t="s">
        <v>56</v>
      </c>
      <c r="B10" s="295"/>
      <c r="C10" s="295"/>
      <c r="D10" s="295"/>
      <c r="E10" s="295"/>
      <c r="F10" s="295"/>
    </row>
    <row r="11" spans="1:8" ht="45" customHeight="1" x14ac:dyDescent="0.35">
      <c r="A11" s="173" t="s">
        <v>20</v>
      </c>
      <c r="B11" s="298" t="s">
        <v>54</v>
      </c>
      <c r="C11" s="298"/>
      <c r="D11" s="174" t="s">
        <v>55</v>
      </c>
      <c r="E11" s="174" t="s">
        <v>331</v>
      </c>
      <c r="F11" s="174" t="s">
        <v>332</v>
      </c>
      <c r="G11" s="290" t="s">
        <v>584</v>
      </c>
      <c r="H11" s="291"/>
    </row>
    <row r="12" spans="1:8" ht="34.5" customHeight="1" x14ac:dyDescent="0.35">
      <c r="A12" s="299" t="s">
        <v>176</v>
      </c>
      <c r="B12" s="81" t="s">
        <v>531</v>
      </c>
      <c r="C12" s="300" t="s">
        <v>79</v>
      </c>
      <c r="D12" s="300" t="s">
        <v>150</v>
      </c>
      <c r="E12" s="319">
        <f>1665/1850</f>
        <v>0.9</v>
      </c>
      <c r="F12" s="289">
        <f>(2012+173+2464)/(2012+216+4322)</f>
        <v>0.70977099236641217</v>
      </c>
      <c r="G12" s="287">
        <f>'[3]Indicadores e Metas'!F12</f>
        <v>0.9</v>
      </c>
      <c r="H12" s="288">
        <f>4649/6550</f>
        <v>0.70977099236641217</v>
      </c>
    </row>
    <row r="13" spans="1:8" ht="34.5" customHeight="1" x14ac:dyDescent="0.35">
      <c r="A13" s="299"/>
      <c r="B13" s="82" t="s">
        <v>532</v>
      </c>
      <c r="C13" s="300"/>
      <c r="D13" s="300"/>
      <c r="E13" s="319"/>
      <c r="F13" s="289"/>
      <c r="G13" s="287"/>
      <c r="H13" s="288"/>
    </row>
    <row r="14" spans="1:8" ht="34.5" customHeight="1" x14ac:dyDescent="0.35">
      <c r="A14" s="299" t="s">
        <v>177</v>
      </c>
      <c r="B14" s="81" t="s">
        <v>533</v>
      </c>
      <c r="C14" s="300" t="s">
        <v>79</v>
      </c>
      <c r="D14" s="300" t="s">
        <v>150</v>
      </c>
      <c r="E14" s="319">
        <f>8/400</f>
        <v>0.02</v>
      </c>
      <c r="F14" s="289">
        <f>187/1870</f>
        <v>0.1</v>
      </c>
      <c r="G14" s="287">
        <f>'[3]Indicadores e Metas'!F14</f>
        <v>0.02</v>
      </c>
      <c r="H14" s="288">
        <f>187/1870</f>
        <v>0.1</v>
      </c>
    </row>
    <row r="15" spans="1:8" ht="34.5" customHeight="1" x14ac:dyDescent="0.35">
      <c r="A15" s="299"/>
      <c r="B15" s="82" t="s">
        <v>534</v>
      </c>
      <c r="C15" s="300"/>
      <c r="D15" s="300"/>
      <c r="E15" s="319"/>
      <c r="F15" s="289"/>
      <c r="G15" s="287"/>
      <c r="H15" s="288"/>
    </row>
    <row r="16" spans="1:8" ht="34.5" customHeight="1" x14ac:dyDescent="0.35">
      <c r="A16" s="299" t="s">
        <v>178</v>
      </c>
      <c r="B16" s="313" t="s">
        <v>536</v>
      </c>
      <c r="C16" s="314"/>
      <c r="D16" s="300" t="s">
        <v>150</v>
      </c>
      <c r="E16" s="318">
        <f>5141/18216</f>
        <v>0.2822244180939833</v>
      </c>
      <c r="F16" s="315">
        <f>(60223/12)/18556</f>
        <v>0.27045609685995542</v>
      </c>
      <c r="G16" s="285">
        <f>'[3]Indicadores e Metas'!F16</f>
        <v>0.2822244180939833</v>
      </c>
      <c r="H16" s="292">
        <f>'Diretrizes - Resumo'!AI24/12/'Diretrizes - Resumo'!AI19</f>
        <v>0.27045609685995542</v>
      </c>
    </row>
    <row r="17" spans="1:8" ht="34.5" customHeight="1" x14ac:dyDescent="0.35">
      <c r="A17" s="299"/>
      <c r="B17" s="316" t="s">
        <v>535</v>
      </c>
      <c r="C17" s="317"/>
      <c r="D17" s="300"/>
      <c r="E17" s="318"/>
      <c r="F17" s="315"/>
      <c r="G17" s="285"/>
      <c r="H17" s="292"/>
    </row>
    <row r="18" spans="1:8" ht="34.5" customHeight="1" x14ac:dyDescent="0.35">
      <c r="A18" s="299" t="s">
        <v>179</v>
      </c>
      <c r="B18" s="81" t="s">
        <v>537</v>
      </c>
      <c r="C18" s="300" t="s">
        <v>79</v>
      </c>
      <c r="D18" s="300" t="s">
        <v>150</v>
      </c>
      <c r="E18" s="319">
        <f>380/476</f>
        <v>0.79831932773109249</v>
      </c>
      <c r="F18" s="289">
        <f>173/216</f>
        <v>0.80092592592592593</v>
      </c>
      <c r="G18" s="287">
        <f>'[3]Indicadores e Metas'!F18</f>
        <v>0.79831932773109249</v>
      </c>
      <c r="H18" s="288">
        <f>173/216</f>
        <v>0.80092592592592593</v>
      </c>
    </row>
    <row r="19" spans="1:8" ht="34.5" customHeight="1" x14ac:dyDescent="0.35">
      <c r="A19" s="299"/>
      <c r="B19" s="82" t="s">
        <v>538</v>
      </c>
      <c r="C19" s="300"/>
      <c r="D19" s="300"/>
      <c r="E19" s="319"/>
      <c r="F19" s="289"/>
      <c r="G19" s="287"/>
      <c r="H19" s="288"/>
    </row>
    <row r="20" spans="1:8" ht="34.5" customHeight="1" x14ac:dyDescent="0.35">
      <c r="A20" s="299" t="s">
        <v>180</v>
      </c>
      <c r="B20" s="81" t="s">
        <v>539</v>
      </c>
      <c r="C20" s="300" t="s">
        <v>79</v>
      </c>
      <c r="D20" s="300" t="s">
        <v>81</v>
      </c>
      <c r="E20" s="319">
        <f>333/1665</f>
        <v>0.2</v>
      </c>
      <c r="F20" s="289">
        <f>402/2012</f>
        <v>0.19980119284294234</v>
      </c>
      <c r="G20" s="287">
        <f>'[3]Indicadores e Metas'!F20</f>
        <v>0.2</v>
      </c>
      <c r="H20" s="288">
        <f>402/2012</f>
        <v>0.19980119284294234</v>
      </c>
    </row>
    <row r="21" spans="1:8" ht="34.5" customHeight="1" x14ac:dyDescent="0.35">
      <c r="A21" s="299"/>
      <c r="B21" s="82" t="s">
        <v>540</v>
      </c>
      <c r="C21" s="300"/>
      <c r="D21" s="300"/>
      <c r="E21" s="319"/>
      <c r="F21" s="289"/>
      <c r="G21" s="287"/>
      <c r="H21" s="288"/>
    </row>
    <row r="22" spans="1:8" ht="34.5" customHeight="1" x14ac:dyDescent="0.35">
      <c r="A22" s="299" t="s">
        <v>181</v>
      </c>
      <c r="B22" s="81" t="s">
        <v>515</v>
      </c>
      <c r="C22" s="300" t="s">
        <v>79</v>
      </c>
      <c r="D22" s="300" t="s">
        <v>81</v>
      </c>
      <c r="E22" s="319">
        <f>9/15</f>
        <v>0.6</v>
      </c>
      <c r="F22" s="289">
        <f>12/15</f>
        <v>0.8</v>
      </c>
      <c r="G22" s="287">
        <f>'[3]Indicadores e Metas'!F22</f>
        <v>0.6</v>
      </c>
      <c r="H22" s="288">
        <f>12/15</f>
        <v>0.8</v>
      </c>
    </row>
    <row r="23" spans="1:8" ht="34.5" customHeight="1" x14ac:dyDescent="0.35">
      <c r="A23" s="299"/>
      <c r="B23" s="82" t="s">
        <v>514</v>
      </c>
      <c r="C23" s="300"/>
      <c r="D23" s="300"/>
      <c r="E23" s="319"/>
      <c r="F23" s="289"/>
      <c r="G23" s="287"/>
      <c r="H23" s="288"/>
    </row>
    <row r="24" spans="1:8" ht="34.5" customHeight="1" x14ac:dyDescent="0.35">
      <c r="A24" s="299" t="s">
        <v>182</v>
      </c>
      <c r="B24" s="81" t="s">
        <v>541</v>
      </c>
      <c r="C24" s="300" t="s">
        <v>79</v>
      </c>
      <c r="D24" s="300" t="s">
        <v>80</v>
      </c>
      <c r="E24" s="319">
        <f>1665/10560</f>
        <v>0.15767045454545456</v>
      </c>
      <c r="F24" s="289">
        <f>((2012+173+2464)/12)/((4*8*21)+(4*6*21)+(2*4*21))</f>
        <v>0.28825644841269843</v>
      </c>
      <c r="G24" s="287">
        <f>'[3]Indicadores e Metas'!F24</f>
        <v>0.15767045454545456</v>
      </c>
      <c r="H24" s="288">
        <f>4649/12/1344</f>
        <v>0.28825644841269843</v>
      </c>
    </row>
    <row r="25" spans="1:8" ht="34.5" customHeight="1" x14ac:dyDescent="0.35">
      <c r="A25" s="299"/>
      <c r="B25" s="82" t="s">
        <v>542</v>
      </c>
      <c r="C25" s="300"/>
      <c r="D25" s="300"/>
      <c r="E25" s="319"/>
      <c r="F25" s="289"/>
      <c r="G25" s="287"/>
      <c r="H25" s="288"/>
    </row>
    <row r="26" spans="1:8" ht="34.5" customHeight="1" x14ac:dyDescent="0.35">
      <c r="A26" s="299" t="s">
        <v>183</v>
      </c>
      <c r="B26" s="81" t="s">
        <v>543</v>
      </c>
      <c r="C26" s="300" t="s">
        <v>79</v>
      </c>
      <c r="D26" s="300" t="s">
        <v>80</v>
      </c>
      <c r="E26" s="319">
        <f>1/8</f>
        <v>0.125</v>
      </c>
      <c r="F26" s="289">
        <f>28/187</f>
        <v>0.1497326203208556</v>
      </c>
      <c r="G26" s="287">
        <f>'[3]Indicadores e Metas'!F26</f>
        <v>0.125</v>
      </c>
      <c r="H26" s="288">
        <f>28/187</f>
        <v>0.1497326203208556</v>
      </c>
    </row>
    <row r="27" spans="1:8" ht="34.5" customHeight="1" x14ac:dyDescent="0.35">
      <c r="A27" s="299"/>
      <c r="B27" s="82" t="s">
        <v>544</v>
      </c>
      <c r="C27" s="300"/>
      <c r="D27" s="300"/>
      <c r="E27" s="319"/>
      <c r="F27" s="289"/>
      <c r="G27" s="287"/>
      <c r="H27" s="288"/>
    </row>
    <row r="28" spans="1:8" ht="34.5" customHeight="1" x14ac:dyDescent="0.35">
      <c r="A28" s="299" t="s">
        <v>184</v>
      </c>
      <c r="B28" s="81" t="s">
        <v>545</v>
      </c>
      <c r="C28" s="300" t="s">
        <v>79</v>
      </c>
      <c r="D28" s="300" t="s">
        <v>80</v>
      </c>
      <c r="E28" s="319">
        <f>80/400</f>
        <v>0.2</v>
      </c>
      <c r="F28" s="289">
        <f>180/1811</f>
        <v>9.9392600773053563E-2</v>
      </c>
      <c r="G28" s="287">
        <f>'[3]Indicadores e Metas'!F28</f>
        <v>0.2</v>
      </c>
      <c r="H28" s="288">
        <f>180/1811</f>
        <v>9.9392600773053563E-2</v>
      </c>
    </row>
    <row r="29" spans="1:8" ht="34.5" customHeight="1" x14ac:dyDescent="0.35">
      <c r="A29" s="299"/>
      <c r="B29" s="82" t="s">
        <v>546</v>
      </c>
      <c r="C29" s="300"/>
      <c r="D29" s="300"/>
      <c r="E29" s="319"/>
      <c r="F29" s="289"/>
      <c r="G29" s="287"/>
      <c r="H29" s="288"/>
    </row>
    <row r="30" spans="1:8" ht="34.5" customHeight="1" x14ac:dyDescent="0.35">
      <c r="A30" s="299" t="s">
        <v>185</v>
      </c>
      <c r="B30" s="81" t="s">
        <v>547</v>
      </c>
      <c r="C30" s="300" t="s">
        <v>79</v>
      </c>
      <c r="D30" s="300" t="s">
        <v>80</v>
      </c>
      <c r="E30" s="319">
        <f>61/80</f>
        <v>0.76249999999999996</v>
      </c>
      <c r="F30" s="289">
        <f>81/162</f>
        <v>0.5</v>
      </c>
      <c r="G30" s="287">
        <f>'[3]Indicadores e Metas'!F30</f>
        <v>0.76249999999999996</v>
      </c>
      <c r="H30" s="288">
        <f>81/162</f>
        <v>0.5</v>
      </c>
    </row>
    <row r="31" spans="1:8" ht="34.5" customHeight="1" x14ac:dyDescent="0.35">
      <c r="A31" s="299"/>
      <c r="B31" s="82" t="s">
        <v>548</v>
      </c>
      <c r="C31" s="300"/>
      <c r="D31" s="300"/>
      <c r="E31" s="319"/>
      <c r="F31" s="289"/>
      <c r="G31" s="287"/>
      <c r="H31" s="288"/>
    </row>
    <row r="32" spans="1:8" ht="45" customHeight="1" x14ac:dyDescent="0.35">
      <c r="A32" s="173" t="s">
        <v>21</v>
      </c>
      <c r="B32" s="298" t="s">
        <v>54</v>
      </c>
      <c r="C32" s="298"/>
      <c r="D32" s="174" t="s">
        <v>55</v>
      </c>
      <c r="E32" s="174" t="s">
        <v>331</v>
      </c>
      <c r="F32" s="174" t="s">
        <v>332</v>
      </c>
      <c r="G32" s="290" t="s">
        <v>584</v>
      </c>
      <c r="H32" s="291"/>
    </row>
    <row r="33" spans="1:8" ht="34.5" customHeight="1" x14ac:dyDescent="0.35">
      <c r="A33" s="299" t="s">
        <v>186</v>
      </c>
      <c r="B33" s="81" t="s">
        <v>549</v>
      </c>
      <c r="C33" s="300" t="s">
        <v>79</v>
      </c>
      <c r="D33" s="300" t="s">
        <v>75</v>
      </c>
      <c r="E33" s="319">
        <f>28520/28520</f>
        <v>1</v>
      </c>
      <c r="F33" s="289">
        <f>24472/24472</f>
        <v>1</v>
      </c>
      <c r="G33" s="287">
        <f>'[3]Indicadores e Metas'!F33</f>
        <v>1</v>
      </c>
      <c r="H33" s="288">
        <f>24472/24472</f>
        <v>1</v>
      </c>
    </row>
    <row r="34" spans="1:8" ht="34.5" customHeight="1" x14ac:dyDescent="0.35">
      <c r="A34" s="299"/>
      <c r="B34" s="82" t="s">
        <v>550</v>
      </c>
      <c r="C34" s="300"/>
      <c r="D34" s="300"/>
      <c r="E34" s="319"/>
      <c r="F34" s="289"/>
      <c r="G34" s="287"/>
      <c r="H34" s="288"/>
    </row>
    <row r="35" spans="1:8" ht="34.5" customHeight="1" x14ac:dyDescent="0.35">
      <c r="A35" s="299" t="s">
        <v>187</v>
      </c>
      <c r="B35" s="81" t="s">
        <v>551</v>
      </c>
      <c r="C35" s="300" t="s">
        <v>79</v>
      </c>
      <c r="D35" s="300" t="s">
        <v>75</v>
      </c>
      <c r="E35" s="319">
        <f>1412/1508</f>
        <v>0.93633952254641906</v>
      </c>
      <c r="F35" s="289">
        <f>1438/1523</f>
        <v>0.94418910045961912</v>
      </c>
      <c r="G35" s="287">
        <f>'[3]Indicadores e Metas'!F35</f>
        <v>0.93633952254641906</v>
      </c>
      <c r="H35" s="288">
        <f>1438/1523</f>
        <v>0.94418910045961912</v>
      </c>
    </row>
    <row r="36" spans="1:8" ht="34.5" customHeight="1" x14ac:dyDescent="0.35">
      <c r="A36" s="299"/>
      <c r="B36" s="82" t="s">
        <v>552</v>
      </c>
      <c r="C36" s="300"/>
      <c r="D36" s="300"/>
      <c r="E36" s="319"/>
      <c r="F36" s="289"/>
      <c r="G36" s="287"/>
      <c r="H36" s="288"/>
    </row>
    <row r="37" spans="1:8" ht="34.5" customHeight="1" x14ac:dyDescent="0.35">
      <c r="A37" s="299" t="s">
        <v>188</v>
      </c>
      <c r="B37" s="81" t="s">
        <v>151</v>
      </c>
      <c r="C37" s="300" t="s">
        <v>79</v>
      </c>
      <c r="D37" s="300" t="s">
        <v>75</v>
      </c>
      <c r="E37" s="319" t="s">
        <v>506</v>
      </c>
      <c r="F37" s="289" t="s">
        <v>506</v>
      </c>
      <c r="G37" s="287" t="str">
        <f>'[3]Indicadores e Metas'!F37</f>
        <v>NSA</v>
      </c>
      <c r="H37" s="288" t="s">
        <v>326</v>
      </c>
    </row>
    <row r="38" spans="1:8" ht="34.5" customHeight="1" x14ac:dyDescent="0.35">
      <c r="A38" s="299"/>
      <c r="B38" s="82" t="s">
        <v>152</v>
      </c>
      <c r="C38" s="300"/>
      <c r="D38" s="300"/>
      <c r="E38" s="319"/>
      <c r="F38" s="289"/>
      <c r="G38" s="287"/>
      <c r="H38" s="288"/>
    </row>
    <row r="39" spans="1:8" ht="45" customHeight="1" x14ac:dyDescent="0.35">
      <c r="A39" s="173" t="s">
        <v>22</v>
      </c>
      <c r="B39" s="298" t="s">
        <v>54</v>
      </c>
      <c r="C39" s="298"/>
      <c r="D39" s="174" t="s">
        <v>55</v>
      </c>
      <c r="E39" s="174" t="s">
        <v>331</v>
      </c>
      <c r="F39" s="174" t="s">
        <v>332</v>
      </c>
      <c r="G39" s="290" t="s">
        <v>584</v>
      </c>
      <c r="H39" s="291"/>
    </row>
    <row r="40" spans="1:8" ht="34.5" customHeight="1" x14ac:dyDescent="0.35">
      <c r="A40" s="320" t="s">
        <v>189</v>
      </c>
      <c r="B40" s="83" t="s">
        <v>153</v>
      </c>
      <c r="C40" s="300" t="s">
        <v>79</v>
      </c>
      <c r="D40" s="321" t="s">
        <v>154</v>
      </c>
      <c r="E40" s="319">
        <f>250200/250200</f>
        <v>1</v>
      </c>
      <c r="F40" s="319">
        <f>250200/250200</f>
        <v>1</v>
      </c>
      <c r="G40" s="287">
        <f>'[3]Indicadores e Metas'!F40</f>
        <v>1</v>
      </c>
      <c r="H40" s="287">
        <v>1</v>
      </c>
    </row>
    <row r="41" spans="1:8" ht="34.5" customHeight="1" x14ac:dyDescent="0.35">
      <c r="A41" s="320"/>
      <c r="B41" s="84" t="s">
        <v>155</v>
      </c>
      <c r="C41" s="300"/>
      <c r="D41" s="321"/>
      <c r="E41" s="319"/>
      <c r="F41" s="319"/>
      <c r="G41" s="287"/>
      <c r="H41" s="287"/>
    </row>
    <row r="42" spans="1:8" ht="34.5" customHeight="1" x14ac:dyDescent="0.35">
      <c r="A42" s="320" t="s">
        <v>190</v>
      </c>
      <c r="B42" s="83" t="s">
        <v>507</v>
      </c>
      <c r="C42" s="300" t="s">
        <v>79</v>
      </c>
      <c r="D42" s="321" t="s">
        <v>81</v>
      </c>
      <c r="E42" s="319">
        <v>1</v>
      </c>
      <c r="F42" s="289">
        <v>0.6</v>
      </c>
      <c r="G42" s="287">
        <f>'[3]Indicadores e Metas'!F42</f>
        <v>1</v>
      </c>
      <c r="H42" s="288">
        <f>864/1440</f>
        <v>0.6</v>
      </c>
    </row>
    <row r="43" spans="1:8" ht="34.5" customHeight="1" x14ac:dyDescent="0.35">
      <c r="A43" s="320"/>
      <c r="B43" s="84" t="s">
        <v>508</v>
      </c>
      <c r="C43" s="300"/>
      <c r="D43" s="321"/>
      <c r="E43" s="319"/>
      <c r="F43" s="289"/>
      <c r="G43" s="287"/>
      <c r="H43" s="288"/>
    </row>
    <row r="44" spans="1:8" ht="34.5" customHeight="1" x14ac:dyDescent="0.35">
      <c r="A44" s="320" t="s">
        <v>191</v>
      </c>
      <c r="B44" s="322" t="s">
        <v>509</v>
      </c>
      <c r="C44" s="322"/>
      <c r="D44" s="321" t="s">
        <v>81</v>
      </c>
      <c r="E44" s="326">
        <f>44643.92/2860</f>
        <v>15.609762237762236</v>
      </c>
      <c r="F44" s="323">
        <f>13000/1440</f>
        <v>9.0277777777777786</v>
      </c>
      <c r="G44" s="293">
        <f>'[3]Indicadores e Metas'!F44</f>
        <v>15.609762237762236</v>
      </c>
      <c r="H44" s="294">
        <f>13000/1440</f>
        <v>9.0277777777777786</v>
      </c>
    </row>
    <row r="45" spans="1:8" ht="34.5" customHeight="1" x14ac:dyDescent="0.35">
      <c r="A45" s="320"/>
      <c r="B45" s="324" t="s">
        <v>510</v>
      </c>
      <c r="C45" s="324"/>
      <c r="D45" s="321"/>
      <c r="E45" s="326"/>
      <c r="F45" s="323"/>
      <c r="G45" s="293"/>
      <c r="H45" s="294"/>
    </row>
    <row r="46" spans="1:8" ht="34.5" customHeight="1" x14ac:dyDescent="0.35">
      <c r="A46" s="320" t="s">
        <v>192</v>
      </c>
      <c r="B46" s="83" t="s">
        <v>511</v>
      </c>
      <c r="C46" s="325" t="s">
        <v>79</v>
      </c>
      <c r="D46" s="321" t="s">
        <v>81</v>
      </c>
      <c r="E46" s="319">
        <v>0.95</v>
      </c>
      <c r="F46" s="289">
        <v>0.55559999999999998</v>
      </c>
      <c r="G46" s="287">
        <f>'[3]Indicadores e Metas'!F46</f>
        <v>0.95</v>
      </c>
      <c r="H46" s="288">
        <f>864/1555</f>
        <v>0.55562700964630229</v>
      </c>
    </row>
    <row r="47" spans="1:8" ht="34.5" customHeight="1" x14ac:dyDescent="0.35">
      <c r="A47" s="320"/>
      <c r="B47" s="84" t="s">
        <v>512</v>
      </c>
      <c r="C47" s="325"/>
      <c r="D47" s="321"/>
      <c r="E47" s="319"/>
      <c r="F47" s="289"/>
      <c r="G47" s="287"/>
      <c r="H47" s="288"/>
    </row>
    <row r="48" spans="1:8" ht="45" customHeight="1" x14ac:dyDescent="0.35">
      <c r="A48" s="173" t="s">
        <v>23</v>
      </c>
      <c r="B48" s="298" t="s">
        <v>54</v>
      </c>
      <c r="C48" s="298"/>
      <c r="D48" s="174" t="s">
        <v>55</v>
      </c>
      <c r="E48" s="174" t="s">
        <v>331</v>
      </c>
      <c r="F48" s="174" t="s">
        <v>332</v>
      </c>
      <c r="G48" s="290" t="s">
        <v>584</v>
      </c>
      <c r="H48" s="291"/>
    </row>
    <row r="49" spans="1:8" ht="53.25" customHeight="1" x14ac:dyDescent="0.35">
      <c r="A49" s="85" t="s">
        <v>193</v>
      </c>
      <c r="B49" s="327" t="s">
        <v>156</v>
      </c>
      <c r="C49" s="327"/>
      <c r="D49" s="86" t="s">
        <v>74</v>
      </c>
      <c r="E49" s="87">
        <v>10</v>
      </c>
      <c r="F49" s="88">
        <v>10</v>
      </c>
      <c r="G49" s="244">
        <f>'[3]Indicadores e Metas'!$F$49</f>
        <v>10</v>
      </c>
      <c r="H49" s="251">
        <v>10</v>
      </c>
    </row>
    <row r="50" spans="1:8" ht="45" customHeight="1" x14ac:dyDescent="0.35">
      <c r="A50" s="173" t="s">
        <v>24</v>
      </c>
      <c r="B50" s="298" t="s">
        <v>54</v>
      </c>
      <c r="C50" s="298"/>
      <c r="D50" s="174" t="s">
        <v>55</v>
      </c>
      <c r="E50" s="174" t="s">
        <v>331</v>
      </c>
      <c r="F50" s="174" t="s">
        <v>332</v>
      </c>
      <c r="G50" s="290" t="s">
        <v>584</v>
      </c>
      <c r="H50" s="291"/>
    </row>
    <row r="51" spans="1:8" ht="34.5" customHeight="1" x14ac:dyDescent="0.35">
      <c r="A51" s="320" t="s">
        <v>194</v>
      </c>
      <c r="B51" s="83" t="s">
        <v>157</v>
      </c>
      <c r="C51" s="325" t="s">
        <v>79</v>
      </c>
      <c r="D51" s="325" t="s">
        <v>74</v>
      </c>
      <c r="E51" s="319" t="s">
        <v>506</v>
      </c>
      <c r="F51" s="289" t="s">
        <v>506</v>
      </c>
      <c r="G51" s="287" t="str">
        <f>'[3]Indicadores e Metas'!F51</f>
        <v>NSA</v>
      </c>
      <c r="H51" s="288" t="s">
        <v>326</v>
      </c>
    </row>
    <row r="52" spans="1:8" ht="34.5" customHeight="1" x14ac:dyDescent="0.35">
      <c r="A52" s="320"/>
      <c r="B52" s="84" t="s">
        <v>149</v>
      </c>
      <c r="C52" s="325"/>
      <c r="D52" s="325"/>
      <c r="E52" s="319"/>
      <c r="F52" s="289"/>
      <c r="G52" s="287"/>
      <c r="H52" s="288"/>
    </row>
    <row r="53" spans="1:8" ht="34.5" customHeight="1" x14ac:dyDescent="0.35">
      <c r="A53" s="320" t="s">
        <v>195</v>
      </c>
      <c r="B53" s="83" t="s">
        <v>561</v>
      </c>
      <c r="C53" s="325" t="s">
        <v>79</v>
      </c>
      <c r="D53" s="325" t="s">
        <v>74</v>
      </c>
      <c r="E53" s="319">
        <v>1.4E-2</v>
      </c>
      <c r="F53" s="289">
        <f>12/853</f>
        <v>1.4067995310668231E-2</v>
      </c>
      <c r="G53" s="287">
        <f>'[3]Indicadores e Metas'!F53</f>
        <v>1.4E-2</v>
      </c>
      <c r="H53" s="288">
        <f>12/853</f>
        <v>1.4067995310668231E-2</v>
      </c>
    </row>
    <row r="54" spans="1:8" ht="34.5" customHeight="1" x14ac:dyDescent="0.35">
      <c r="A54" s="320"/>
      <c r="B54" s="84" t="s">
        <v>560</v>
      </c>
      <c r="C54" s="325"/>
      <c r="D54" s="325"/>
      <c r="E54" s="319"/>
      <c r="F54" s="289"/>
      <c r="G54" s="287"/>
      <c r="H54" s="288"/>
    </row>
    <row r="55" spans="1:8" ht="45" customHeight="1" x14ac:dyDescent="0.35">
      <c r="A55" s="173" t="s">
        <v>25</v>
      </c>
      <c r="B55" s="298" t="s">
        <v>54</v>
      </c>
      <c r="C55" s="298"/>
      <c r="D55" s="174" t="s">
        <v>55</v>
      </c>
      <c r="E55" s="174" t="s">
        <v>331</v>
      </c>
      <c r="F55" s="174" t="s">
        <v>332</v>
      </c>
      <c r="G55" s="290" t="s">
        <v>584</v>
      </c>
      <c r="H55" s="291"/>
    </row>
    <row r="56" spans="1:8" ht="34.5" customHeight="1" x14ac:dyDescent="0.35">
      <c r="A56" s="89" t="s">
        <v>196</v>
      </c>
      <c r="B56" s="325" t="s">
        <v>158</v>
      </c>
      <c r="C56" s="325"/>
      <c r="D56" s="90" t="s">
        <v>150</v>
      </c>
      <c r="E56" s="91">
        <v>140000</v>
      </c>
      <c r="F56" s="92">
        <v>140000</v>
      </c>
      <c r="G56" s="245">
        <f>'[3]Indicadores e Metas'!$F$56</f>
        <v>140000</v>
      </c>
      <c r="H56" s="250">
        <v>140000</v>
      </c>
    </row>
    <row r="57" spans="1:8" ht="34.5" customHeight="1" x14ac:dyDescent="0.35">
      <c r="A57" s="320" t="s">
        <v>197</v>
      </c>
      <c r="B57" s="83" t="s">
        <v>526</v>
      </c>
      <c r="C57" s="325" t="s">
        <v>79</v>
      </c>
      <c r="D57" s="325" t="s">
        <v>75</v>
      </c>
      <c r="E57" s="319">
        <f>25/600</f>
        <v>4.1666666666666664E-2</v>
      </c>
      <c r="F57" s="289">
        <v>7.0000000000000007E-2</v>
      </c>
      <c r="G57" s="287">
        <f>'[3]Indicadores e Metas'!$F$57</f>
        <v>4.1666666666666664E-2</v>
      </c>
      <c r="H57" s="288">
        <f>42/600</f>
        <v>7.0000000000000007E-2</v>
      </c>
    </row>
    <row r="58" spans="1:8" ht="34.5" customHeight="1" x14ac:dyDescent="0.35">
      <c r="A58" s="320"/>
      <c r="B58" s="84" t="s">
        <v>525</v>
      </c>
      <c r="C58" s="325"/>
      <c r="D58" s="325"/>
      <c r="E58" s="319"/>
      <c r="F58" s="289"/>
      <c r="G58" s="287"/>
      <c r="H58" s="288"/>
    </row>
    <row r="59" spans="1:8" ht="34.5" customHeight="1" x14ac:dyDescent="0.35">
      <c r="A59" s="320" t="s">
        <v>198</v>
      </c>
      <c r="B59" s="83" t="s">
        <v>528</v>
      </c>
      <c r="C59" s="325" t="s">
        <v>79</v>
      </c>
      <c r="D59" s="325" t="s">
        <v>75</v>
      </c>
      <c r="E59" s="319">
        <f>20/25</f>
        <v>0.8</v>
      </c>
      <c r="F59" s="312">
        <v>0.84</v>
      </c>
      <c r="G59" s="287">
        <f>'[3]Indicadores e Metas'!$F$59</f>
        <v>0.8</v>
      </c>
      <c r="H59" s="289">
        <f>21/25</f>
        <v>0.84</v>
      </c>
    </row>
    <row r="60" spans="1:8" ht="34.5" customHeight="1" x14ac:dyDescent="0.35">
      <c r="A60" s="320"/>
      <c r="B60" s="84" t="s">
        <v>527</v>
      </c>
      <c r="C60" s="325"/>
      <c r="D60" s="325"/>
      <c r="E60" s="319"/>
      <c r="F60" s="312"/>
      <c r="G60" s="287"/>
      <c r="H60" s="289"/>
    </row>
    <row r="61" spans="1:8" ht="34.5" customHeight="1" x14ac:dyDescent="0.35">
      <c r="A61" s="89" t="s">
        <v>159</v>
      </c>
      <c r="B61" s="325" t="s">
        <v>160</v>
      </c>
      <c r="C61" s="325"/>
      <c r="D61" s="90" t="s">
        <v>81</v>
      </c>
      <c r="E61" s="91">
        <v>300000</v>
      </c>
      <c r="F61" s="92">
        <v>450000</v>
      </c>
      <c r="G61" s="245">
        <f>'[3]Indicadores e Metas'!$F$61</f>
        <v>300000</v>
      </c>
      <c r="H61" s="250">
        <v>450000</v>
      </c>
    </row>
    <row r="62" spans="1:8" ht="45" customHeight="1" x14ac:dyDescent="0.35">
      <c r="A62" s="173" t="s">
        <v>26</v>
      </c>
      <c r="B62" s="298" t="s">
        <v>54</v>
      </c>
      <c r="C62" s="298"/>
      <c r="D62" s="174" t="s">
        <v>55</v>
      </c>
      <c r="E62" s="174" t="s">
        <v>331</v>
      </c>
      <c r="F62" s="174" t="s">
        <v>332</v>
      </c>
      <c r="G62" s="290" t="s">
        <v>584</v>
      </c>
      <c r="H62" s="291"/>
    </row>
    <row r="63" spans="1:8" ht="34.5" customHeight="1" x14ac:dyDescent="0.35">
      <c r="A63" s="328" t="s">
        <v>199</v>
      </c>
      <c r="B63" s="93" t="s">
        <v>161</v>
      </c>
      <c r="C63" s="325" t="s">
        <v>79</v>
      </c>
      <c r="D63" s="325" t="s">
        <v>74</v>
      </c>
      <c r="E63" s="319" t="s">
        <v>506</v>
      </c>
      <c r="F63" s="289" t="s">
        <v>506</v>
      </c>
      <c r="G63" s="287" t="str">
        <f>'[3]Indicadores e Metas'!F63</f>
        <v>NSA</v>
      </c>
      <c r="H63" s="288" t="s">
        <v>326</v>
      </c>
    </row>
    <row r="64" spans="1:8" ht="34.5" customHeight="1" x14ac:dyDescent="0.35">
      <c r="A64" s="328"/>
      <c r="B64" s="94" t="s">
        <v>162</v>
      </c>
      <c r="C64" s="325"/>
      <c r="D64" s="325"/>
      <c r="E64" s="319"/>
      <c r="F64" s="289"/>
      <c r="G64" s="287"/>
      <c r="H64" s="288"/>
    </row>
    <row r="65" spans="1:8" ht="34.5" customHeight="1" x14ac:dyDescent="0.35">
      <c r="A65" s="329" t="s">
        <v>200</v>
      </c>
      <c r="B65" s="95" t="s">
        <v>524</v>
      </c>
      <c r="C65" s="325" t="s">
        <v>79</v>
      </c>
      <c r="D65" s="325" t="s">
        <v>74</v>
      </c>
      <c r="E65" s="319">
        <f>19/37</f>
        <v>0.51351351351351349</v>
      </c>
      <c r="F65" s="289">
        <f>19/37</f>
        <v>0.51351351351351349</v>
      </c>
      <c r="G65" s="287">
        <f>'[3]Indicadores e Metas'!F65</f>
        <v>0.51351351351351349</v>
      </c>
      <c r="H65" s="288">
        <f>19/37</f>
        <v>0.51351351351351349</v>
      </c>
    </row>
    <row r="66" spans="1:8" ht="34.5" customHeight="1" x14ac:dyDescent="0.35">
      <c r="A66" s="329"/>
      <c r="B66" s="96" t="s">
        <v>523</v>
      </c>
      <c r="C66" s="325"/>
      <c r="D66" s="325"/>
      <c r="E66" s="319"/>
      <c r="F66" s="289"/>
      <c r="G66" s="287"/>
      <c r="H66" s="288"/>
    </row>
    <row r="67" spans="1:8" ht="34.5" customHeight="1" x14ac:dyDescent="0.35">
      <c r="A67" s="320" t="s">
        <v>201</v>
      </c>
      <c r="B67" s="322" t="s">
        <v>522</v>
      </c>
      <c r="C67" s="322"/>
      <c r="D67" s="325" t="s">
        <v>81</v>
      </c>
      <c r="E67" s="318">
        <f>537/1095</f>
        <v>0.49041095890410957</v>
      </c>
      <c r="F67" s="315">
        <v>0.49</v>
      </c>
      <c r="G67" s="285">
        <f>'[3]Indicadores e Metas'!F67</f>
        <v>0.49041095890410957</v>
      </c>
      <c r="H67" s="292">
        <f>537/1095</f>
        <v>0.49041095890410957</v>
      </c>
    </row>
    <row r="68" spans="1:8" ht="34.5" customHeight="1" x14ac:dyDescent="0.35">
      <c r="A68" s="320"/>
      <c r="B68" s="324" t="s">
        <v>521</v>
      </c>
      <c r="C68" s="324"/>
      <c r="D68" s="325"/>
      <c r="E68" s="318"/>
      <c r="F68" s="315"/>
      <c r="G68" s="285"/>
      <c r="H68" s="292"/>
    </row>
    <row r="69" spans="1:8" ht="45" customHeight="1" x14ac:dyDescent="0.35">
      <c r="A69" s="173" t="s">
        <v>27</v>
      </c>
      <c r="B69" s="298" t="s">
        <v>54</v>
      </c>
      <c r="C69" s="298"/>
      <c r="D69" s="174" t="s">
        <v>55</v>
      </c>
      <c r="E69" s="174" t="s">
        <v>331</v>
      </c>
      <c r="F69" s="174" t="s">
        <v>332</v>
      </c>
      <c r="G69" s="290" t="s">
        <v>584</v>
      </c>
      <c r="H69" s="291"/>
    </row>
    <row r="70" spans="1:8" ht="34.5" customHeight="1" x14ac:dyDescent="0.35">
      <c r="A70" s="320" t="s">
        <v>202</v>
      </c>
      <c r="B70" s="322" t="s">
        <v>553</v>
      </c>
      <c r="C70" s="322"/>
      <c r="D70" s="325" t="s">
        <v>75</v>
      </c>
      <c r="E70" s="318">
        <f>61690/(21411923/1000)</f>
        <v>2.8811050740281479</v>
      </c>
      <c r="F70" s="315">
        <f>60233/(21411923/1000)</f>
        <v>2.8130588737872819</v>
      </c>
      <c r="G70" s="285">
        <f>'[3]Indicadores e Metas'!F70</f>
        <v>2.8811050740281479</v>
      </c>
      <c r="H70" s="292">
        <f>'Diretrizes - Resumo'!AI24/('Diretrizes - Resumo'!AI27/1000)</f>
        <v>2.8125918442729319</v>
      </c>
    </row>
    <row r="71" spans="1:8" ht="34.5" customHeight="1" x14ac:dyDescent="0.35">
      <c r="A71" s="320"/>
      <c r="B71" s="324" t="s">
        <v>554</v>
      </c>
      <c r="C71" s="324"/>
      <c r="D71" s="325"/>
      <c r="E71" s="318"/>
      <c r="F71" s="315"/>
      <c r="G71" s="285"/>
      <c r="H71" s="292"/>
    </row>
    <row r="72" spans="1:8" ht="34.5" customHeight="1" x14ac:dyDescent="0.35">
      <c r="A72" s="320" t="s">
        <v>203</v>
      </c>
      <c r="B72" s="83" t="s">
        <v>555</v>
      </c>
      <c r="C72" s="325" t="s">
        <v>79</v>
      </c>
      <c r="D72" s="325" t="s">
        <v>75</v>
      </c>
      <c r="E72" s="319">
        <f>1536/61690</f>
        <v>2.4898686983303615E-2</v>
      </c>
      <c r="F72" s="289">
        <f>1596/60233</f>
        <v>2.6497102917005629E-2</v>
      </c>
      <c r="G72" s="287">
        <f>'[3]Indicadores e Metas'!F72</f>
        <v>2.4898686983303615E-2</v>
      </c>
      <c r="H72" s="288">
        <f>1596/'Diretrizes - Resumo'!AI24</f>
        <v>2.650150274811949E-2</v>
      </c>
    </row>
    <row r="73" spans="1:8" ht="34.5" customHeight="1" x14ac:dyDescent="0.35">
      <c r="A73" s="320"/>
      <c r="B73" s="84" t="s">
        <v>556</v>
      </c>
      <c r="C73" s="325"/>
      <c r="D73" s="325"/>
      <c r="E73" s="319"/>
      <c r="F73" s="289"/>
      <c r="G73" s="287"/>
      <c r="H73" s="288"/>
    </row>
    <row r="74" spans="1:8" ht="34.5" customHeight="1" x14ac:dyDescent="0.35">
      <c r="A74" s="320" t="s">
        <v>204</v>
      </c>
      <c r="B74" s="83" t="s">
        <v>557</v>
      </c>
      <c r="C74" s="325" t="s">
        <v>79</v>
      </c>
      <c r="D74" s="325" t="s">
        <v>75</v>
      </c>
      <c r="E74" s="319">
        <f>420/61690</f>
        <v>6.8082347219970826E-3</v>
      </c>
      <c r="F74" s="289">
        <f>361/60233</f>
        <v>5.9933923264655587E-3</v>
      </c>
      <c r="G74" s="287">
        <f>'[3]Indicadores e Metas'!F74</f>
        <v>6.8082347219970826E-3</v>
      </c>
      <c r="H74" s="288">
        <f>361/'Diretrizes - Resumo'!AI24</f>
        <v>5.994387526360361E-3</v>
      </c>
    </row>
    <row r="75" spans="1:8" ht="34.5" customHeight="1" x14ac:dyDescent="0.35">
      <c r="A75" s="320"/>
      <c r="B75" s="84" t="s">
        <v>556</v>
      </c>
      <c r="C75" s="325"/>
      <c r="D75" s="325"/>
      <c r="E75" s="319"/>
      <c r="F75" s="289"/>
      <c r="G75" s="287"/>
      <c r="H75" s="288"/>
    </row>
    <row r="76" spans="1:8" ht="45" customHeight="1" x14ac:dyDescent="0.35">
      <c r="A76" s="173" t="s">
        <v>28</v>
      </c>
      <c r="B76" s="298" t="s">
        <v>54</v>
      </c>
      <c r="C76" s="298"/>
      <c r="D76" s="174" t="s">
        <v>55</v>
      </c>
      <c r="E76" s="174" t="s">
        <v>331</v>
      </c>
      <c r="F76" s="174" t="s">
        <v>332</v>
      </c>
      <c r="G76" s="290" t="s">
        <v>584</v>
      </c>
      <c r="H76" s="291"/>
    </row>
    <row r="77" spans="1:8" ht="34.5" customHeight="1" x14ac:dyDescent="0.35">
      <c r="A77" s="320" t="s">
        <v>205</v>
      </c>
      <c r="B77" s="322" t="s">
        <v>587</v>
      </c>
      <c r="C77" s="322"/>
      <c r="D77" s="325" t="s">
        <v>163</v>
      </c>
      <c r="E77" s="326">
        <v>707.53</v>
      </c>
      <c r="F77" s="323">
        <f>15245000/18556</f>
        <v>821.56714809226128</v>
      </c>
      <c r="G77" s="293">
        <f>'[3]Indicadores e Metas'!F77</f>
        <v>707.53450373877024</v>
      </c>
      <c r="H77" s="294">
        <f>'Anexo 1. Fontes e Aplicações'!D8/'Diretrizes - Resumo'!AI19</f>
        <v>821.56714809226116</v>
      </c>
    </row>
    <row r="78" spans="1:8" ht="34.5" customHeight="1" x14ac:dyDescent="0.35">
      <c r="A78" s="320"/>
      <c r="B78" s="324" t="s">
        <v>566</v>
      </c>
      <c r="C78" s="324"/>
      <c r="D78" s="325"/>
      <c r="E78" s="326"/>
      <c r="F78" s="323"/>
      <c r="G78" s="293"/>
      <c r="H78" s="294"/>
    </row>
    <row r="79" spans="1:8" ht="34.5" customHeight="1" x14ac:dyDescent="0.35">
      <c r="A79" s="320" t="s">
        <v>206</v>
      </c>
      <c r="B79" s="83" t="s">
        <v>568</v>
      </c>
      <c r="C79" s="325" t="s">
        <v>79</v>
      </c>
      <c r="D79" s="325" t="s">
        <v>164</v>
      </c>
      <c r="E79" s="319">
        <f>6757904.44/13152358.89</f>
        <v>0.51381691273176622</v>
      </c>
      <c r="F79" s="289">
        <f>8396514.34/15243933.98</f>
        <v>0.55081020102922273</v>
      </c>
      <c r="G79" s="287">
        <f>'[3]Indicadores e Metas'!F79</f>
        <v>0.51381691273176622</v>
      </c>
      <c r="H79" s="288">
        <f>'Anexo 2. Limites Estratégicos'!M6/'Anexo 2. Limites Estratégicos'!M8</f>
        <v>0.55142829321088893</v>
      </c>
    </row>
    <row r="80" spans="1:8" ht="34.5" customHeight="1" x14ac:dyDescent="0.35">
      <c r="A80" s="320"/>
      <c r="B80" s="84" t="s">
        <v>562</v>
      </c>
      <c r="C80" s="325"/>
      <c r="D80" s="325"/>
      <c r="E80" s="319"/>
      <c r="F80" s="289"/>
      <c r="G80" s="287"/>
      <c r="H80" s="288"/>
    </row>
    <row r="81" spans="1:8" ht="34.5" customHeight="1" x14ac:dyDescent="0.35">
      <c r="A81" s="320" t="s">
        <v>207</v>
      </c>
      <c r="B81" s="322" t="s">
        <v>569</v>
      </c>
      <c r="C81" s="322"/>
      <c r="D81" s="325" t="s">
        <v>81</v>
      </c>
      <c r="E81" s="318">
        <f>22771338.15/1050154.08</f>
        <v>21.68380677052647</v>
      </c>
      <c r="F81" s="315">
        <f>24000000/950000</f>
        <v>25.263157894736842</v>
      </c>
      <c r="G81" s="285">
        <f>'[3]Indicadores e Metas'!F81</f>
        <v>21.68380677052647</v>
      </c>
      <c r="H81" s="286">
        <f>24000000/950000</f>
        <v>25.263157894736842</v>
      </c>
    </row>
    <row r="82" spans="1:8" ht="34.5" customHeight="1" x14ac:dyDescent="0.35">
      <c r="A82" s="320"/>
      <c r="B82" s="324" t="s">
        <v>570</v>
      </c>
      <c r="C82" s="324"/>
      <c r="D82" s="325"/>
      <c r="E82" s="318"/>
      <c r="F82" s="315"/>
      <c r="G82" s="285"/>
      <c r="H82" s="286"/>
    </row>
    <row r="83" spans="1:8" ht="34.5" customHeight="1" x14ac:dyDescent="0.35">
      <c r="A83" s="320" t="s">
        <v>208</v>
      </c>
      <c r="B83" s="83" t="s">
        <v>563</v>
      </c>
      <c r="C83" s="325" t="s">
        <v>79</v>
      </c>
      <c r="D83" s="325" t="s">
        <v>80</v>
      </c>
      <c r="E83" s="319">
        <v>0.25</v>
      </c>
      <c r="F83" s="289">
        <f>4752/17755</f>
        <v>0.26764291748803154</v>
      </c>
      <c r="G83" s="287">
        <f>'[3]Indicadores e Metas'!F83</f>
        <v>0.25</v>
      </c>
      <c r="H83" s="288">
        <f>'Diretrizes - Resumo'!AI21/100</f>
        <v>0.2676429174880316</v>
      </c>
    </row>
    <row r="84" spans="1:8" ht="34.5" customHeight="1" x14ac:dyDescent="0.35">
      <c r="A84" s="320"/>
      <c r="B84" s="84" t="s">
        <v>564</v>
      </c>
      <c r="C84" s="325"/>
      <c r="D84" s="325"/>
      <c r="E84" s="319"/>
      <c r="F84" s="289"/>
      <c r="G84" s="287"/>
      <c r="H84" s="288"/>
    </row>
    <row r="85" spans="1:8" ht="34.5" customHeight="1" x14ac:dyDescent="0.35">
      <c r="A85" s="320" t="s">
        <v>209</v>
      </c>
      <c r="B85" s="83" t="s">
        <v>567</v>
      </c>
      <c r="C85" s="325" t="s">
        <v>79</v>
      </c>
      <c r="D85" s="325" t="s">
        <v>80</v>
      </c>
      <c r="E85" s="319">
        <v>0.33800000000000002</v>
      </c>
      <c r="F85" s="289">
        <f>743/2197</f>
        <v>0.33818843878015475</v>
      </c>
      <c r="G85" s="287">
        <f>'[3]Indicadores e Metas'!F85</f>
        <v>0.33800000000000002</v>
      </c>
      <c r="H85" s="288">
        <f>'Diretrizes - Resumo'!AI23/100</f>
        <v>0.33818843878015487</v>
      </c>
    </row>
    <row r="86" spans="1:8" ht="34.5" customHeight="1" x14ac:dyDescent="0.35">
      <c r="A86" s="320"/>
      <c r="B86" s="84" t="s">
        <v>565</v>
      </c>
      <c r="C86" s="325"/>
      <c r="D86" s="325"/>
      <c r="E86" s="319"/>
      <c r="F86" s="289"/>
      <c r="G86" s="287"/>
      <c r="H86" s="288"/>
    </row>
    <row r="87" spans="1:8" ht="45" customHeight="1" x14ac:dyDescent="0.35">
      <c r="A87" s="173" t="s">
        <v>29</v>
      </c>
      <c r="B87" s="298" t="s">
        <v>54</v>
      </c>
      <c r="C87" s="298"/>
      <c r="D87" s="174" t="s">
        <v>55</v>
      </c>
      <c r="E87" s="174" t="s">
        <v>331</v>
      </c>
      <c r="F87" s="174" t="s">
        <v>332</v>
      </c>
      <c r="G87" s="290" t="s">
        <v>584</v>
      </c>
      <c r="H87" s="291"/>
    </row>
    <row r="88" spans="1:8" ht="34.5" customHeight="1" x14ac:dyDescent="0.35">
      <c r="A88" s="320" t="s">
        <v>210</v>
      </c>
      <c r="B88" s="83" t="s">
        <v>516</v>
      </c>
      <c r="C88" s="325" t="s">
        <v>79</v>
      </c>
      <c r="D88" s="325" t="s">
        <v>164</v>
      </c>
      <c r="E88" s="319">
        <f>64/64</f>
        <v>1</v>
      </c>
      <c r="F88" s="289">
        <f>64/64</f>
        <v>1</v>
      </c>
      <c r="G88" s="287">
        <f>'[3]Indicadores e Metas'!F88</f>
        <v>1</v>
      </c>
      <c r="H88" s="288">
        <f>64/64</f>
        <v>1</v>
      </c>
    </row>
    <row r="89" spans="1:8" ht="34.5" customHeight="1" x14ac:dyDescent="0.35">
      <c r="A89" s="320"/>
      <c r="B89" s="84" t="s">
        <v>517</v>
      </c>
      <c r="C89" s="325"/>
      <c r="D89" s="325"/>
      <c r="E89" s="319"/>
      <c r="F89" s="289"/>
      <c r="G89" s="287"/>
      <c r="H89" s="288"/>
    </row>
    <row r="90" spans="1:8" ht="34.5" customHeight="1" x14ac:dyDescent="0.35">
      <c r="A90" s="320" t="s">
        <v>211</v>
      </c>
      <c r="B90" s="83" t="s">
        <v>519</v>
      </c>
      <c r="C90" s="325" t="s">
        <v>79</v>
      </c>
      <c r="D90" s="325" t="s">
        <v>164</v>
      </c>
      <c r="E90" s="319">
        <f>46/64</f>
        <v>0.71875</v>
      </c>
      <c r="F90" s="289">
        <f>46/64</f>
        <v>0.71875</v>
      </c>
      <c r="G90" s="287">
        <f>'[3]Indicadores e Metas'!F90</f>
        <v>0.71875</v>
      </c>
      <c r="H90" s="288">
        <f>46/64</f>
        <v>0.71875</v>
      </c>
    </row>
    <row r="91" spans="1:8" ht="34.5" customHeight="1" x14ac:dyDescent="0.35">
      <c r="A91" s="320"/>
      <c r="B91" s="84" t="s">
        <v>518</v>
      </c>
      <c r="C91" s="325"/>
      <c r="D91" s="325"/>
      <c r="E91" s="319"/>
      <c r="F91" s="289"/>
      <c r="G91" s="287"/>
      <c r="H91" s="288"/>
    </row>
    <row r="92" spans="1:8" ht="34.5" customHeight="1" x14ac:dyDescent="0.35">
      <c r="A92" s="320" t="s">
        <v>212</v>
      </c>
      <c r="B92" s="83" t="s">
        <v>520</v>
      </c>
      <c r="C92" s="325" t="s">
        <v>79</v>
      </c>
      <c r="D92" s="325" t="s">
        <v>164</v>
      </c>
      <c r="E92" s="319">
        <v>0</v>
      </c>
      <c r="F92" s="312" t="s">
        <v>506</v>
      </c>
      <c r="G92" s="287">
        <f>'[3]Indicadores e Metas'!F92</f>
        <v>0</v>
      </c>
      <c r="H92" s="289">
        <f>0/64</f>
        <v>0</v>
      </c>
    </row>
    <row r="93" spans="1:8" ht="34.5" customHeight="1" x14ac:dyDescent="0.35">
      <c r="A93" s="320"/>
      <c r="B93" s="84" t="s">
        <v>518</v>
      </c>
      <c r="C93" s="325"/>
      <c r="D93" s="325"/>
      <c r="E93" s="319"/>
      <c r="F93" s="312"/>
      <c r="G93" s="287"/>
      <c r="H93" s="289"/>
    </row>
    <row r="94" spans="1:8" ht="45" customHeight="1" x14ac:dyDescent="0.35">
      <c r="A94" s="173" t="s">
        <v>30</v>
      </c>
      <c r="B94" s="298" t="s">
        <v>54</v>
      </c>
      <c r="C94" s="298"/>
      <c r="D94" s="174" t="s">
        <v>55</v>
      </c>
      <c r="E94" s="174" t="s">
        <v>331</v>
      </c>
      <c r="F94" s="174" t="s">
        <v>332</v>
      </c>
      <c r="G94" s="290" t="s">
        <v>584</v>
      </c>
      <c r="H94" s="291"/>
    </row>
    <row r="95" spans="1:8" ht="34.5" customHeight="1" x14ac:dyDescent="0.35">
      <c r="A95" s="320" t="s">
        <v>213</v>
      </c>
      <c r="B95" s="322" t="s">
        <v>578</v>
      </c>
      <c r="C95" s="322"/>
      <c r="D95" s="325" t="s">
        <v>74</v>
      </c>
      <c r="E95" s="318">
        <v>7.46511627906977</v>
      </c>
      <c r="F95" s="315">
        <f>1672/53</f>
        <v>31.547169811320753</v>
      </c>
      <c r="G95" s="285">
        <f>'[3]Indicadores e Metas'!F95</f>
        <v>7.4651162790697674</v>
      </c>
      <c r="H95" s="286">
        <f>1672/53</f>
        <v>31.547169811320753</v>
      </c>
    </row>
    <row r="96" spans="1:8" ht="34.5" customHeight="1" x14ac:dyDescent="0.35">
      <c r="A96" s="320"/>
      <c r="B96" s="324" t="s">
        <v>579</v>
      </c>
      <c r="C96" s="324"/>
      <c r="D96" s="325"/>
      <c r="E96" s="318"/>
      <c r="F96" s="315"/>
      <c r="G96" s="285"/>
      <c r="H96" s="286"/>
    </row>
    <row r="97" spans="1:8" ht="45" customHeight="1" x14ac:dyDescent="0.35">
      <c r="A97" s="173" t="s">
        <v>31</v>
      </c>
      <c r="B97" s="298" t="s">
        <v>54</v>
      </c>
      <c r="C97" s="298"/>
      <c r="D97" s="174" t="s">
        <v>55</v>
      </c>
      <c r="E97" s="174" t="s">
        <v>331</v>
      </c>
      <c r="F97" s="174" t="s">
        <v>332</v>
      </c>
      <c r="G97" s="290" t="s">
        <v>584</v>
      </c>
      <c r="H97" s="291"/>
    </row>
    <row r="98" spans="1:8" ht="34.5" customHeight="1" x14ac:dyDescent="0.35">
      <c r="A98" s="89" t="s">
        <v>165</v>
      </c>
      <c r="B98" s="325" t="s">
        <v>166</v>
      </c>
      <c r="C98" s="325"/>
      <c r="D98" s="90" t="s">
        <v>74</v>
      </c>
      <c r="E98" s="97">
        <v>14</v>
      </c>
      <c r="F98" s="98">
        <v>19</v>
      </c>
      <c r="G98" s="246">
        <f>'[3]Indicadores e Metas'!$F$98</f>
        <v>14</v>
      </c>
      <c r="H98" s="249">
        <v>19</v>
      </c>
    </row>
    <row r="99" spans="1:8" ht="34.5" customHeight="1" x14ac:dyDescent="0.35">
      <c r="A99" s="320" t="s">
        <v>167</v>
      </c>
      <c r="B99" s="83" t="s">
        <v>530</v>
      </c>
      <c r="C99" s="321" t="s">
        <v>79</v>
      </c>
      <c r="D99" s="325" t="s">
        <v>81</v>
      </c>
      <c r="E99" s="319">
        <f>158/262</f>
        <v>0.60305343511450382</v>
      </c>
      <c r="F99" s="289">
        <v>0.65217391304347827</v>
      </c>
      <c r="G99" s="287">
        <f>'[3]Indicadores e Metas'!F99</f>
        <v>0.60305343511450382</v>
      </c>
      <c r="H99" s="288">
        <f>165/253</f>
        <v>0.65217391304347827</v>
      </c>
    </row>
    <row r="100" spans="1:8" ht="34.5" customHeight="1" x14ac:dyDescent="0.35">
      <c r="A100" s="320"/>
      <c r="B100" s="84" t="s">
        <v>529</v>
      </c>
      <c r="C100" s="321"/>
      <c r="D100" s="325"/>
      <c r="E100" s="319"/>
      <c r="F100" s="289"/>
      <c r="G100" s="287"/>
      <c r="H100" s="288"/>
    </row>
    <row r="101" spans="1:8" ht="45" customHeight="1" x14ac:dyDescent="0.35">
      <c r="A101" s="173" t="s">
        <v>32</v>
      </c>
      <c r="B101" s="298" t="s">
        <v>54</v>
      </c>
      <c r="C101" s="298"/>
      <c r="D101" s="174" t="s">
        <v>55</v>
      </c>
      <c r="E101" s="174" t="s">
        <v>331</v>
      </c>
      <c r="F101" s="174" t="s">
        <v>332</v>
      </c>
      <c r="G101" s="290" t="s">
        <v>584</v>
      </c>
      <c r="H101" s="291"/>
    </row>
    <row r="102" spans="1:8" ht="34.5" customHeight="1" x14ac:dyDescent="0.35">
      <c r="A102" s="320" t="s">
        <v>214</v>
      </c>
      <c r="B102" s="83" t="s">
        <v>137</v>
      </c>
      <c r="C102" s="321" t="s">
        <v>79</v>
      </c>
      <c r="D102" s="325" t="s">
        <v>81</v>
      </c>
      <c r="E102" s="319">
        <f>34/38</f>
        <v>0.89473684210526316</v>
      </c>
      <c r="F102" s="289">
        <v>0.8</v>
      </c>
      <c r="G102" s="287">
        <f>'[3]Indicadores e Metas'!F102</f>
        <v>0.89473684210526316</v>
      </c>
      <c r="H102" s="288"/>
    </row>
    <row r="103" spans="1:8" ht="34.5" customHeight="1" x14ac:dyDescent="0.35">
      <c r="A103" s="320"/>
      <c r="B103" s="99" t="s">
        <v>82</v>
      </c>
      <c r="C103" s="321"/>
      <c r="D103" s="325"/>
      <c r="E103" s="319"/>
      <c r="F103" s="289"/>
      <c r="G103" s="287"/>
      <c r="H103" s="288"/>
    </row>
    <row r="104" spans="1:8" ht="34.5" customHeight="1" x14ac:dyDescent="0.35">
      <c r="A104" s="320" t="s">
        <v>215</v>
      </c>
      <c r="B104" s="83" t="s">
        <v>558</v>
      </c>
      <c r="C104" s="321" t="s">
        <v>79</v>
      </c>
      <c r="D104" s="325" t="s">
        <v>164</v>
      </c>
      <c r="E104" s="319">
        <f>1408/1508</f>
        <v>0.93368700265251992</v>
      </c>
      <c r="F104" s="289">
        <f>1392/1523</f>
        <v>0.9139855548260013</v>
      </c>
      <c r="G104" s="287">
        <f>'[3]Indicadores e Metas'!F104</f>
        <v>0.93368700265251992</v>
      </c>
      <c r="H104" s="288">
        <f>1392/1523</f>
        <v>0.9139855548260013</v>
      </c>
    </row>
    <row r="105" spans="1:8" ht="34.5" customHeight="1" x14ac:dyDescent="0.35">
      <c r="A105" s="320"/>
      <c r="B105" s="99" t="s">
        <v>559</v>
      </c>
      <c r="C105" s="321"/>
      <c r="D105" s="325"/>
      <c r="E105" s="319"/>
      <c r="F105" s="289"/>
      <c r="G105" s="287"/>
      <c r="H105" s="288"/>
    </row>
    <row r="106" spans="1:8" ht="21.75" customHeight="1" x14ac:dyDescent="0.35"/>
    <row r="107" spans="1:8" x14ac:dyDescent="0.35">
      <c r="A107" s="295" t="s">
        <v>173</v>
      </c>
      <c r="B107" s="295"/>
      <c r="C107" s="295"/>
      <c r="D107" s="295"/>
      <c r="E107" s="295"/>
      <c r="F107" s="295"/>
    </row>
    <row r="108" spans="1:8" ht="45" customHeight="1" x14ac:dyDescent="0.35">
      <c r="A108" s="296" t="s">
        <v>320</v>
      </c>
      <c r="B108" s="297"/>
      <c r="C108" s="297"/>
      <c r="D108" s="297"/>
      <c r="E108" s="297"/>
      <c r="F108" s="297"/>
    </row>
    <row r="110" spans="1:8" hidden="1" x14ac:dyDescent="0.35">
      <c r="A110" s="104" t="s">
        <v>216</v>
      </c>
    </row>
    <row r="111" spans="1:8" hidden="1" x14ac:dyDescent="0.35">
      <c r="A111" s="105"/>
    </row>
    <row r="112" spans="1:8" hidden="1" x14ac:dyDescent="0.35">
      <c r="A112" s="105"/>
    </row>
    <row r="113" spans="1:1" hidden="1" x14ac:dyDescent="0.35">
      <c r="A113" s="105"/>
    </row>
    <row r="114" spans="1:1" hidden="1" x14ac:dyDescent="0.35">
      <c r="A114" s="105"/>
    </row>
    <row r="115" spans="1:1" hidden="1" x14ac:dyDescent="0.35">
      <c r="A115" s="105"/>
    </row>
    <row r="116" spans="1:1" hidden="1" x14ac:dyDescent="0.35">
      <c r="A116" s="105"/>
    </row>
    <row r="117" spans="1:1" hidden="1" x14ac:dyDescent="0.35">
      <c r="A117" s="105"/>
    </row>
    <row r="118" spans="1:1" hidden="1" x14ac:dyDescent="0.35">
      <c r="A118" s="105"/>
    </row>
    <row r="119" spans="1:1" hidden="1" x14ac:dyDescent="0.35">
      <c r="A119" s="105"/>
    </row>
    <row r="120" spans="1:1" hidden="1" x14ac:dyDescent="0.35">
      <c r="A120" s="105"/>
    </row>
    <row r="121" spans="1:1" hidden="1" x14ac:dyDescent="0.35">
      <c r="A121" s="105"/>
    </row>
    <row r="122" spans="1:1" hidden="1" x14ac:dyDescent="0.35">
      <c r="A122" s="105"/>
    </row>
    <row r="123" spans="1:1" hidden="1" x14ac:dyDescent="0.35">
      <c r="A123" s="105"/>
    </row>
    <row r="124" spans="1:1" hidden="1" x14ac:dyDescent="0.35">
      <c r="A124" s="105"/>
    </row>
    <row r="125" spans="1:1" hidden="1" x14ac:dyDescent="0.35">
      <c r="A125" s="105"/>
    </row>
    <row r="126" spans="1:1" hidden="1" x14ac:dyDescent="0.35">
      <c r="A126" s="105"/>
    </row>
    <row r="127" spans="1:1" x14ac:dyDescent="0.35"/>
  </sheetData>
  <mergeCells count="326">
    <mergeCell ref="G39:H39"/>
    <mergeCell ref="G48:H48"/>
    <mergeCell ref="G50:H50"/>
    <mergeCell ref="G55:H55"/>
    <mergeCell ref="G62:H62"/>
    <mergeCell ref="G69:H69"/>
    <mergeCell ref="G76:H76"/>
    <mergeCell ref="G87:H87"/>
    <mergeCell ref="G94:H94"/>
    <mergeCell ref="G51:G52"/>
    <mergeCell ref="H51:H52"/>
    <mergeCell ref="G53:G54"/>
    <mergeCell ref="H53:H54"/>
    <mergeCell ref="G57:G58"/>
    <mergeCell ref="H57:H58"/>
    <mergeCell ref="G59:G60"/>
    <mergeCell ref="H59:H60"/>
    <mergeCell ref="G63:G64"/>
    <mergeCell ref="H63:H64"/>
    <mergeCell ref="G65:G66"/>
    <mergeCell ref="H65:H66"/>
    <mergeCell ref="G67:G68"/>
    <mergeCell ref="H67:H68"/>
    <mergeCell ref="G70:G71"/>
    <mergeCell ref="G18:G19"/>
    <mergeCell ref="H18:H19"/>
    <mergeCell ref="G20:G21"/>
    <mergeCell ref="H20:H21"/>
    <mergeCell ref="G22:G23"/>
    <mergeCell ref="H22:H23"/>
    <mergeCell ref="G24:G25"/>
    <mergeCell ref="H24:H25"/>
    <mergeCell ref="G26:G27"/>
    <mergeCell ref="H26:H27"/>
    <mergeCell ref="G12:G13"/>
    <mergeCell ref="H12:H13"/>
    <mergeCell ref="G14:G15"/>
    <mergeCell ref="H14:H15"/>
    <mergeCell ref="G16:G17"/>
    <mergeCell ref="H16:H17"/>
    <mergeCell ref="G7:G8"/>
    <mergeCell ref="H7:H8"/>
    <mergeCell ref="G6:H6"/>
    <mergeCell ref="G11:H11"/>
    <mergeCell ref="E95:E96"/>
    <mergeCell ref="E99:E100"/>
    <mergeCell ref="E102:E103"/>
    <mergeCell ref="E104:E105"/>
    <mergeCell ref="E67:E68"/>
    <mergeCell ref="E70:E71"/>
    <mergeCell ref="E72:E73"/>
    <mergeCell ref="E74:E75"/>
    <mergeCell ref="E77:E78"/>
    <mergeCell ref="E79:E80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F51:F52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A14:A15"/>
    <mergeCell ref="C14:C15"/>
    <mergeCell ref="D14:D15"/>
    <mergeCell ref="F14:F15"/>
    <mergeCell ref="A16:A17"/>
    <mergeCell ref="B16:C16"/>
    <mergeCell ref="D16:D17"/>
    <mergeCell ref="F16:F17"/>
    <mergeCell ref="B17:C17"/>
    <mergeCell ref="E16:E17"/>
    <mergeCell ref="C12:C13"/>
    <mergeCell ref="D12:D13"/>
    <mergeCell ref="F12:F13"/>
    <mergeCell ref="A5:F5"/>
    <mergeCell ref="B6:C6"/>
    <mergeCell ref="A7:A8"/>
    <mergeCell ref="C7:C8"/>
    <mergeCell ref="D7:D8"/>
    <mergeCell ref="F7:F8"/>
    <mergeCell ref="A107:F107"/>
    <mergeCell ref="A108:F108"/>
    <mergeCell ref="A10:F10"/>
    <mergeCell ref="B11:C11"/>
    <mergeCell ref="A12:A13"/>
    <mergeCell ref="H28:H29"/>
    <mergeCell ref="G30:G31"/>
    <mergeCell ref="H30:H31"/>
    <mergeCell ref="G33:G34"/>
    <mergeCell ref="H33:H34"/>
    <mergeCell ref="G35:G36"/>
    <mergeCell ref="H35:H36"/>
    <mergeCell ref="G37:G38"/>
    <mergeCell ref="H37:H38"/>
    <mergeCell ref="G28:G29"/>
    <mergeCell ref="G32:H32"/>
    <mergeCell ref="G40:G41"/>
    <mergeCell ref="H40:H41"/>
    <mergeCell ref="G42:G43"/>
    <mergeCell ref="H42:H43"/>
    <mergeCell ref="G44:G45"/>
    <mergeCell ref="H44:H45"/>
    <mergeCell ref="G46:G47"/>
    <mergeCell ref="H46:H47"/>
    <mergeCell ref="H70:H71"/>
    <mergeCell ref="G72:G73"/>
    <mergeCell ref="H72:H73"/>
    <mergeCell ref="G74:G75"/>
    <mergeCell ref="H74:H75"/>
    <mergeCell ref="G77:G78"/>
    <mergeCell ref="H77:H78"/>
    <mergeCell ref="G79:G80"/>
    <mergeCell ref="H79:H80"/>
    <mergeCell ref="G81:G82"/>
    <mergeCell ref="H81:H82"/>
    <mergeCell ref="G83:G84"/>
    <mergeCell ref="H83:H84"/>
    <mergeCell ref="G85:G86"/>
    <mergeCell ref="H85:H86"/>
    <mergeCell ref="G88:G89"/>
    <mergeCell ref="H88:H89"/>
    <mergeCell ref="G104:G105"/>
    <mergeCell ref="H104:H105"/>
    <mergeCell ref="G90:G91"/>
    <mergeCell ref="H90:H91"/>
    <mergeCell ref="G92:G93"/>
    <mergeCell ref="H92:H93"/>
    <mergeCell ref="G95:G96"/>
    <mergeCell ref="H95:H96"/>
    <mergeCell ref="G99:G100"/>
    <mergeCell ref="H99:H100"/>
    <mergeCell ref="G102:G103"/>
    <mergeCell ref="H102:H103"/>
    <mergeCell ref="G97:H97"/>
    <mergeCell ref="G101:H101"/>
  </mergeCells>
  <phoneticPr fontId="21" type="noConversion"/>
  <pageMargins left="0.511811024" right="0.511811024" top="0.78740157499999996" bottom="0.78740157499999996" header="0.31496062000000002" footer="0.31496062000000002"/>
  <pageSetup paperSize="9" scale="40" orientation="portrait" r:id="rId1"/>
  <rowBreaks count="2" manualBreakCount="2">
    <brk id="47" max="5" man="1"/>
    <brk id="86" max="5" man="1"/>
  </rowBreaks>
  <ignoredErrors>
    <ignoredError sqref="F95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'Validação de dados'!$D$1:$D$16</xm:f>
          </x14:formula1>
          <xm:sqref>A111:A126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FFFF00"/>
    <pageSetUpPr fitToPage="1"/>
  </sheetPr>
  <dimension ref="A1:U54"/>
  <sheetViews>
    <sheetView showGridLines="0" view="pageBreakPreview" zoomScale="80" zoomScaleNormal="55" zoomScaleSheetLayoutView="80" workbookViewId="0">
      <selection activeCell="C9" sqref="C9"/>
    </sheetView>
  </sheetViews>
  <sheetFormatPr defaultColWidth="9.140625" defaultRowHeight="15.75" x14ac:dyDescent="0.25"/>
  <cols>
    <col min="1" max="1" width="29.85546875" style="103" customWidth="1"/>
    <col min="2" max="2" width="13" style="103" customWidth="1"/>
    <col min="3" max="3" width="41.7109375" style="103" customWidth="1"/>
    <col min="4" max="4" width="59.85546875" style="103" customWidth="1"/>
    <col min="5" max="5" width="44" style="103" customWidth="1"/>
    <col min="6" max="6" width="31.42578125" style="103" customWidth="1"/>
    <col min="7" max="7" width="95.28515625" style="103" customWidth="1"/>
    <col min="8" max="8" width="23.140625" style="103" customWidth="1"/>
    <col min="9" max="9" width="23.140625" style="266" customWidth="1"/>
    <col min="10" max="11" width="23.140625" style="103" customWidth="1"/>
    <col min="12" max="20" width="18.42578125" style="77" customWidth="1"/>
    <col min="21" max="25" width="14.85546875" style="77" customWidth="1"/>
    <col min="26" max="16384" width="9.140625" style="77"/>
  </cols>
  <sheetData>
    <row r="1" spans="1:21" x14ac:dyDescent="0.25">
      <c r="A1" s="333" t="s">
        <v>335</v>
      </c>
      <c r="B1" s="333"/>
      <c r="C1" s="333"/>
      <c r="D1" s="333"/>
      <c r="E1" s="333"/>
      <c r="F1" s="331"/>
      <c r="G1" s="331"/>
      <c r="H1" s="331"/>
      <c r="I1" s="331"/>
      <c r="J1" s="333"/>
      <c r="K1" s="333"/>
    </row>
    <row r="2" spans="1:21" s="169" customFormat="1" x14ac:dyDescent="0.25">
      <c r="A2" s="295" t="str">
        <f>'[4]Indicadores e Metas'!A2</f>
        <v xml:space="preserve">CAU/UF:  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21" s="169" customFormat="1" x14ac:dyDescent="0.25">
      <c r="A3" s="295" t="s">
        <v>336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21" x14ac:dyDescent="0.25">
      <c r="A4" s="165"/>
      <c r="B4" s="165"/>
      <c r="C4" s="165"/>
      <c r="D4" s="165"/>
      <c r="E4" s="165"/>
      <c r="F4" s="165"/>
      <c r="G4" s="165"/>
      <c r="H4" s="165"/>
      <c r="I4" s="263"/>
      <c r="J4" s="165"/>
      <c r="K4" s="165"/>
    </row>
    <row r="5" spans="1:21" s="169" customFormat="1" x14ac:dyDescent="0.25">
      <c r="A5" s="339" t="s">
        <v>65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21" s="169" customFormat="1" ht="29.25" customHeight="1" x14ac:dyDescent="0.25">
      <c r="A6" s="337" t="s">
        <v>4</v>
      </c>
      <c r="B6" s="335" t="s">
        <v>136</v>
      </c>
      <c r="C6" s="335" t="s">
        <v>5</v>
      </c>
      <c r="D6" s="335" t="s">
        <v>53</v>
      </c>
      <c r="E6" s="335" t="s">
        <v>34</v>
      </c>
      <c r="F6" s="335" t="s">
        <v>217</v>
      </c>
      <c r="G6" s="334" t="s">
        <v>66</v>
      </c>
      <c r="H6" s="335" t="s">
        <v>333</v>
      </c>
      <c r="I6" s="343" t="s">
        <v>334</v>
      </c>
      <c r="J6" s="336" t="s">
        <v>342</v>
      </c>
      <c r="K6" s="336"/>
    </row>
    <row r="7" spans="1:21" s="169" customFormat="1" ht="44.25" customHeight="1" x14ac:dyDescent="0.25">
      <c r="A7" s="338"/>
      <c r="B7" s="336"/>
      <c r="C7" s="336"/>
      <c r="D7" s="336"/>
      <c r="E7" s="336"/>
      <c r="F7" s="336"/>
      <c r="G7" s="335"/>
      <c r="H7" s="336"/>
      <c r="I7" s="344"/>
      <c r="J7" s="219" t="s">
        <v>218</v>
      </c>
      <c r="K7" s="219" t="s">
        <v>140</v>
      </c>
      <c r="L7" s="169" t="str">
        <f>A6</f>
        <v>Unidade Responsável</v>
      </c>
      <c r="M7" s="169" t="str">
        <f t="shared" ref="M7:S7" si="0">B6</f>
        <v>P/A/ PE</v>
      </c>
      <c r="N7" s="169" t="str">
        <f t="shared" si="0"/>
        <v>Denominação</v>
      </c>
      <c r="O7" s="169" t="str">
        <f t="shared" si="0"/>
        <v xml:space="preserve">Objetivo Geral </v>
      </c>
      <c r="P7" s="169" t="str">
        <f t="shared" si="0"/>
        <v>Objetivo Estratégico Principal</v>
      </c>
      <c r="Q7" s="169" t="str">
        <f t="shared" si="0"/>
        <v>Objetivos de Desenvolvimento Sustentável</v>
      </c>
      <c r="R7" s="169" t="str">
        <f t="shared" si="0"/>
        <v>Resultado</v>
      </c>
      <c r="S7" s="169" t="str">
        <f t="shared" si="0"/>
        <v>Reprogramação
2022 
R$ (A)</v>
      </c>
      <c r="T7" s="169" t="s">
        <v>585</v>
      </c>
      <c r="U7" s="169" t="str">
        <f>I6</f>
        <v>Programação
 2023
 R$ (B)</v>
      </c>
    </row>
    <row r="8" spans="1:21" s="169" customFormat="1" ht="90.75" customHeight="1" x14ac:dyDescent="0.25">
      <c r="A8" s="12" t="s">
        <v>375</v>
      </c>
      <c r="B8" s="218" t="s">
        <v>223</v>
      </c>
      <c r="C8" s="9" t="s">
        <v>376</v>
      </c>
      <c r="D8" s="9" t="s">
        <v>380</v>
      </c>
      <c r="E8" s="9" t="s">
        <v>113</v>
      </c>
      <c r="F8" s="9" t="s">
        <v>93</v>
      </c>
      <c r="G8" s="9" t="s">
        <v>377</v>
      </c>
      <c r="H8" s="10">
        <v>162959.51</v>
      </c>
      <c r="I8" s="10">
        <f>'Anexo 3. Elemento de Despesas'!Q7</f>
        <v>168500</v>
      </c>
      <c r="J8" s="107">
        <f>I8-H8</f>
        <v>5540.4899999999907</v>
      </c>
      <c r="K8" s="108">
        <f>IFERROR(J8/H8*100,)</f>
        <v>3.3999181759935277</v>
      </c>
      <c r="L8" s="169" t="b">
        <f>'[3]Quadro Geral'!A8=A8</f>
        <v>1</v>
      </c>
      <c r="M8" s="169" t="b">
        <f>'[3]Quadro Geral'!B8=B8</f>
        <v>1</v>
      </c>
      <c r="N8" s="169" t="b">
        <f>'[3]Quadro Geral'!D8=C8</f>
        <v>1</v>
      </c>
      <c r="O8" s="252" t="b">
        <f>'[3]Quadro Geral'!E8=D8</f>
        <v>0</v>
      </c>
      <c r="P8" s="169" t="b">
        <f>'[3]Quadro Geral'!F8=E8</f>
        <v>1</v>
      </c>
      <c r="Q8" s="169" t="b">
        <f>'[3]Quadro Geral'!G8=F8</f>
        <v>1</v>
      </c>
      <c r="R8" s="169" t="b">
        <f>'[3]Quadro Geral'!H8=G8</f>
        <v>1</v>
      </c>
      <c r="S8" s="169" t="b">
        <f>'[3]Quadro Geral'!L8=H8</f>
        <v>1</v>
      </c>
    </row>
    <row r="9" spans="1:21" s="169" customFormat="1" ht="90.75" customHeight="1" x14ac:dyDescent="0.25">
      <c r="A9" s="12" t="s">
        <v>378</v>
      </c>
      <c r="B9" s="218" t="s">
        <v>223</v>
      </c>
      <c r="C9" s="9" t="s">
        <v>379</v>
      </c>
      <c r="D9" s="9" t="s">
        <v>380</v>
      </c>
      <c r="E9" s="9" t="s">
        <v>26</v>
      </c>
      <c r="F9" s="9" t="s">
        <v>89</v>
      </c>
      <c r="G9" s="9" t="s">
        <v>381</v>
      </c>
      <c r="H9" s="10">
        <v>47930.14</v>
      </c>
      <c r="I9" s="10">
        <f>'Anexo 3. Elemento de Despesas'!Q8</f>
        <v>62500</v>
      </c>
      <c r="J9" s="107">
        <f t="shared" ref="J9:J49" si="1">I9-H9</f>
        <v>14569.86</v>
      </c>
      <c r="K9" s="108">
        <f t="shared" ref="K9:K50" si="2">IFERROR(J9/H9*100,)</f>
        <v>30.398116926009401</v>
      </c>
      <c r="L9" s="169" t="b">
        <f>'[3]Quadro Geral'!A9=A9</f>
        <v>1</v>
      </c>
      <c r="M9" s="169" t="b">
        <f>'[3]Quadro Geral'!B9=B9</f>
        <v>1</v>
      </c>
      <c r="N9" s="169" t="b">
        <f>'[3]Quadro Geral'!D9=C9</f>
        <v>1</v>
      </c>
      <c r="O9" s="169" t="b">
        <f>'[3]Quadro Geral'!E9=D9</f>
        <v>1</v>
      </c>
      <c r="P9" s="169" t="b">
        <f>'[3]Quadro Geral'!F9=E9</f>
        <v>1</v>
      </c>
      <c r="Q9" s="169" t="b">
        <f>'[3]Quadro Geral'!G9=F9</f>
        <v>1</v>
      </c>
      <c r="R9" s="169" t="b">
        <f>'[3]Quadro Geral'!H9=G9</f>
        <v>1</v>
      </c>
      <c r="S9" s="169" t="b">
        <f>'[3]Quadro Geral'!L9=H9</f>
        <v>1</v>
      </c>
    </row>
    <row r="10" spans="1:21" s="169" customFormat="1" ht="90.75" customHeight="1" x14ac:dyDescent="0.25">
      <c r="A10" s="12" t="s">
        <v>382</v>
      </c>
      <c r="B10" s="218" t="s">
        <v>223</v>
      </c>
      <c r="C10" s="9" t="s">
        <v>383</v>
      </c>
      <c r="D10" s="9" t="s">
        <v>380</v>
      </c>
      <c r="E10" s="9" t="s">
        <v>20</v>
      </c>
      <c r="F10" s="9" t="s">
        <v>87</v>
      </c>
      <c r="G10" s="9" t="s">
        <v>384</v>
      </c>
      <c r="H10" s="10">
        <v>154135.82</v>
      </c>
      <c r="I10" s="10">
        <f>'Anexo 3. Elemento de Despesas'!Q9</f>
        <v>234000</v>
      </c>
      <c r="J10" s="107">
        <f t="shared" si="1"/>
        <v>79864.179999999993</v>
      </c>
      <c r="K10" s="108">
        <f t="shared" si="2"/>
        <v>51.814159745606169</v>
      </c>
      <c r="L10" s="169" t="b">
        <f>'[3]Quadro Geral'!A10=A10</f>
        <v>1</v>
      </c>
      <c r="M10" s="169" t="b">
        <f>'[3]Quadro Geral'!B10=B10</f>
        <v>1</v>
      </c>
      <c r="N10" s="169" t="b">
        <f>'[3]Quadro Geral'!D10=C10</f>
        <v>1</v>
      </c>
      <c r="O10" s="169" t="b">
        <f>'[3]Quadro Geral'!E10=D10</f>
        <v>1</v>
      </c>
      <c r="P10" s="169" t="b">
        <f>'[3]Quadro Geral'!F10=E10</f>
        <v>1</v>
      </c>
      <c r="Q10" s="169" t="b">
        <f>'[3]Quadro Geral'!G10=F10</f>
        <v>1</v>
      </c>
      <c r="R10" s="169" t="b">
        <f>'[3]Quadro Geral'!H10=G10</f>
        <v>1</v>
      </c>
      <c r="S10" s="169" t="b">
        <f>'[3]Quadro Geral'!L10=H10</f>
        <v>1</v>
      </c>
    </row>
    <row r="11" spans="1:21" s="169" customFormat="1" ht="90.75" customHeight="1" x14ac:dyDescent="0.25">
      <c r="A11" s="12" t="s">
        <v>385</v>
      </c>
      <c r="B11" s="218" t="s">
        <v>223</v>
      </c>
      <c r="C11" s="9" t="s">
        <v>386</v>
      </c>
      <c r="D11" s="9" t="s">
        <v>380</v>
      </c>
      <c r="E11" s="9" t="s">
        <v>28</v>
      </c>
      <c r="F11" s="9" t="s">
        <v>89</v>
      </c>
      <c r="G11" s="9" t="s">
        <v>387</v>
      </c>
      <c r="H11" s="10">
        <v>118341.02999999998</v>
      </c>
      <c r="I11" s="10">
        <f>'Anexo 3. Elemento de Despesas'!Q10</f>
        <v>147500</v>
      </c>
      <c r="J11" s="107">
        <f t="shared" si="1"/>
        <v>29158.970000000016</v>
      </c>
      <c r="K11" s="108">
        <f t="shared" si="2"/>
        <v>24.639780471743418</v>
      </c>
      <c r="L11" s="169" t="b">
        <f>'[3]Quadro Geral'!A11=A11</f>
        <v>1</v>
      </c>
      <c r="M11" s="169" t="b">
        <f>'[3]Quadro Geral'!B11=B11</f>
        <v>1</v>
      </c>
      <c r="N11" s="169" t="b">
        <f>'[3]Quadro Geral'!D11=C11</f>
        <v>1</v>
      </c>
      <c r="O11" s="169" t="b">
        <f>'[3]Quadro Geral'!E11=D11</f>
        <v>1</v>
      </c>
      <c r="P11" s="169" t="b">
        <f>'[3]Quadro Geral'!F11=E11</f>
        <v>1</v>
      </c>
      <c r="Q11" s="169" t="b">
        <f>'[3]Quadro Geral'!G11=F11</f>
        <v>1</v>
      </c>
      <c r="R11" s="169" t="b">
        <f>'[3]Quadro Geral'!H11=G11</f>
        <v>1</v>
      </c>
      <c r="S11" s="169" t="b">
        <f>'[3]Quadro Geral'!L11=H11</f>
        <v>1</v>
      </c>
    </row>
    <row r="12" spans="1:21" s="169" customFormat="1" ht="90.75" customHeight="1" x14ac:dyDescent="0.25">
      <c r="A12" s="12" t="s">
        <v>388</v>
      </c>
      <c r="B12" s="218" t="s">
        <v>223</v>
      </c>
      <c r="C12" s="9" t="s">
        <v>389</v>
      </c>
      <c r="D12" s="9" t="s">
        <v>380</v>
      </c>
      <c r="E12" s="9" t="s">
        <v>29</v>
      </c>
      <c r="F12" s="9" t="s">
        <v>89</v>
      </c>
      <c r="G12" s="9" t="s">
        <v>390</v>
      </c>
      <c r="H12" s="10">
        <v>109513.43</v>
      </c>
      <c r="I12" s="10">
        <f>'Anexo 3. Elemento de Despesas'!Q11</f>
        <v>117500</v>
      </c>
      <c r="J12" s="107">
        <f t="shared" si="1"/>
        <v>7986.570000000007</v>
      </c>
      <c r="K12" s="108">
        <f t="shared" si="2"/>
        <v>7.2927767854591057</v>
      </c>
      <c r="L12" s="169" t="b">
        <f>'[3]Quadro Geral'!A12=A12</f>
        <v>1</v>
      </c>
      <c r="M12" s="169" t="b">
        <f>'[3]Quadro Geral'!B12=B12</f>
        <v>1</v>
      </c>
      <c r="N12" s="169" t="b">
        <f>'[3]Quadro Geral'!D12=C12</f>
        <v>1</v>
      </c>
      <c r="O12" s="169" t="b">
        <f>'[3]Quadro Geral'!E12=D12</f>
        <v>1</v>
      </c>
      <c r="P12" s="169" t="b">
        <f>'[3]Quadro Geral'!F12=E12</f>
        <v>1</v>
      </c>
      <c r="Q12" s="169" t="b">
        <f>'[3]Quadro Geral'!G12=F12</f>
        <v>1</v>
      </c>
      <c r="R12" s="169" t="b">
        <f>'[3]Quadro Geral'!H12=G12</f>
        <v>1</v>
      </c>
      <c r="S12" s="169" t="b">
        <f>'[3]Quadro Geral'!L12=H12</f>
        <v>1</v>
      </c>
    </row>
    <row r="13" spans="1:21" s="169" customFormat="1" ht="90.75" customHeight="1" x14ac:dyDescent="0.25">
      <c r="A13" s="12" t="s">
        <v>391</v>
      </c>
      <c r="B13" s="218" t="s">
        <v>223</v>
      </c>
      <c r="C13" s="9" t="s">
        <v>392</v>
      </c>
      <c r="D13" s="9" t="s">
        <v>380</v>
      </c>
      <c r="E13" s="9" t="s">
        <v>134</v>
      </c>
      <c r="F13" s="9" t="s">
        <v>87</v>
      </c>
      <c r="G13" s="9" t="s">
        <v>393</v>
      </c>
      <c r="H13" s="10">
        <v>51177.94</v>
      </c>
      <c r="I13" s="10">
        <f>'Anexo 3. Elemento de Despesas'!Q12</f>
        <v>78000</v>
      </c>
      <c r="J13" s="107">
        <f t="shared" si="1"/>
        <v>26822.059999999998</v>
      </c>
      <c r="K13" s="108">
        <f t="shared" si="2"/>
        <v>52.409417026163993</v>
      </c>
      <c r="L13" s="169" t="b">
        <f>'[3]Quadro Geral'!A13=A13</f>
        <v>1</v>
      </c>
      <c r="M13" s="169" t="b">
        <f>'[3]Quadro Geral'!B13=B13</f>
        <v>1</v>
      </c>
      <c r="N13" s="169" t="b">
        <f>'[3]Quadro Geral'!D13=C13</f>
        <v>1</v>
      </c>
      <c r="O13" s="169" t="b">
        <f>'[3]Quadro Geral'!E13=D13</f>
        <v>1</v>
      </c>
      <c r="P13" s="169" t="b">
        <f>'[3]Quadro Geral'!F13=E13</f>
        <v>1</v>
      </c>
      <c r="Q13" s="169" t="b">
        <f>'[3]Quadro Geral'!G13=F13</f>
        <v>1</v>
      </c>
      <c r="R13" s="169" t="b">
        <f>'[3]Quadro Geral'!H13=G13</f>
        <v>1</v>
      </c>
      <c r="S13" s="169" t="b">
        <f>'[3]Quadro Geral'!L13=H13</f>
        <v>1</v>
      </c>
    </row>
    <row r="14" spans="1:21" s="169" customFormat="1" ht="90.75" customHeight="1" x14ac:dyDescent="0.25">
      <c r="A14" s="12" t="s">
        <v>394</v>
      </c>
      <c r="B14" s="218" t="s">
        <v>223</v>
      </c>
      <c r="C14" s="9" t="s">
        <v>395</v>
      </c>
      <c r="D14" s="9" t="s">
        <v>380</v>
      </c>
      <c r="E14" s="9" t="s">
        <v>27</v>
      </c>
      <c r="F14" s="9" t="s">
        <v>87</v>
      </c>
      <c r="G14" s="9" t="s">
        <v>396</v>
      </c>
      <c r="H14" s="10">
        <v>54830</v>
      </c>
      <c r="I14" s="10">
        <f>'Anexo 3. Elemento de Despesas'!Q13</f>
        <v>61500</v>
      </c>
      <c r="J14" s="107">
        <f t="shared" si="1"/>
        <v>6670</v>
      </c>
      <c r="K14" s="108">
        <f t="shared" si="2"/>
        <v>12.164873244574139</v>
      </c>
      <c r="L14" s="169" t="b">
        <f>'[3]Quadro Geral'!A14=A14</f>
        <v>1</v>
      </c>
      <c r="M14" s="169" t="b">
        <f>'[3]Quadro Geral'!B14=B14</f>
        <v>1</v>
      </c>
      <c r="N14" s="169" t="b">
        <f>'[3]Quadro Geral'!D14=C14</f>
        <v>1</v>
      </c>
      <c r="O14" s="169" t="b">
        <f>'[3]Quadro Geral'!E14=D14</f>
        <v>1</v>
      </c>
      <c r="P14" s="169" t="b">
        <f>'[3]Quadro Geral'!F14=E14</f>
        <v>1</v>
      </c>
      <c r="Q14" s="169" t="b">
        <f>'[3]Quadro Geral'!G14=F14</f>
        <v>1</v>
      </c>
      <c r="R14" s="169" t="b">
        <f>'[3]Quadro Geral'!H14=G14</f>
        <v>1</v>
      </c>
      <c r="S14" s="169" t="b">
        <f>'[3]Quadro Geral'!L14=H14</f>
        <v>1</v>
      </c>
    </row>
    <row r="15" spans="1:21" s="169" customFormat="1" ht="90.75" customHeight="1" x14ac:dyDescent="0.25">
      <c r="A15" s="12" t="s">
        <v>397</v>
      </c>
      <c r="B15" s="218" t="s">
        <v>223</v>
      </c>
      <c r="C15" s="9" t="s">
        <v>398</v>
      </c>
      <c r="D15" s="9" t="s">
        <v>380</v>
      </c>
      <c r="E15" s="9" t="s">
        <v>107</v>
      </c>
      <c r="F15" s="9" t="s">
        <v>87</v>
      </c>
      <c r="G15" s="9" t="s">
        <v>399</v>
      </c>
      <c r="H15" s="10">
        <v>48947.06</v>
      </c>
      <c r="I15" s="10">
        <f>'Anexo 3. Elemento de Despesas'!Q14</f>
        <v>67500</v>
      </c>
      <c r="J15" s="107">
        <f t="shared" si="1"/>
        <v>18552.940000000002</v>
      </c>
      <c r="K15" s="108">
        <f t="shared" si="2"/>
        <v>37.904094750532522</v>
      </c>
      <c r="L15" s="169" t="b">
        <f>'[3]Quadro Geral'!A15=A15</f>
        <v>1</v>
      </c>
      <c r="M15" s="169" t="b">
        <f>'[3]Quadro Geral'!B15=B15</f>
        <v>1</v>
      </c>
      <c r="N15" s="169" t="b">
        <f>'[3]Quadro Geral'!D15=C15</f>
        <v>1</v>
      </c>
      <c r="O15" s="169" t="b">
        <f>'[3]Quadro Geral'!E15=D15</f>
        <v>1</v>
      </c>
      <c r="P15" s="169" t="b">
        <f>'[3]Quadro Geral'!F15=E15</f>
        <v>1</v>
      </c>
      <c r="Q15" s="169" t="b">
        <f>'[3]Quadro Geral'!G15=F15</f>
        <v>1</v>
      </c>
      <c r="R15" s="169" t="b">
        <f>'[3]Quadro Geral'!H15=G15</f>
        <v>1</v>
      </c>
      <c r="S15" s="169" t="b">
        <f>'[3]Quadro Geral'!L15=H15</f>
        <v>1</v>
      </c>
    </row>
    <row r="16" spans="1:21" s="169" customFormat="1" ht="90.75" customHeight="1" x14ac:dyDescent="0.25">
      <c r="A16" s="12" t="s">
        <v>400</v>
      </c>
      <c r="B16" s="218" t="s">
        <v>223</v>
      </c>
      <c r="C16" s="9" t="s">
        <v>401</v>
      </c>
      <c r="D16" s="9" t="s">
        <v>402</v>
      </c>
      <c r="E16" s="9" t="s">
        <v>31</v>
      </c>
      <c r="F16" s="9" t="s">
        <v>89</v>
      </c>
      <c r="G16" s="9" t="s">
        <v>403</v>
      </c>
      <c r="H16" s="10">
        <v>144412.97</v>
      </c>
      <c r="I16" s="10">
        <f>'Anexo 3. Elemento de Despesas'!Q15</f>
        <v>130000</v>
      </c>
      <c r="J16" s="107">
        <f t="shared" si="1"/>
        <v>-14412.970000000001</v>
      </c>
      <c r="K16" s="108">
        <f t="shared" si="2"/>
        <v>-9.9803847258317582</v>
      </c>
      <c r="L16" s="169" t="b">
        <f>'[3]Quadro Geral'!A16=A16</f>
        <v>1</v>
      </c>
      <c r="M16" s="169" t="b">
        <f>'[3]Quadro Geral'!B16=B16</f>
        <v>1</v>
      </c>
      <c r="N16" s="169" t="b">
        <f>'[3]Quadro Geral'!D16=C16</f>
        <v>1</v>
      </c>
      <c r="O16" s="169" t="b">
        <f>'[3]Quadro Geral'!E16=D16</f>
        <v>1</v>
      </c>
      <c r="P16" s="169" t="b">
        <f>'[3]Quadro Geral'!F16=E16</f>
        <v>1</v>
      </c>
      <c r="Q16" s="169" t="b">
        <f>'[3]Quadro Geral'!G16=F16</f>
        <v>1</v>
      </c>
      <c r="R16" s="169" t="b">
        <f>'[3]Quadro Geral'!H16=G16</f>
        <v>1</v>
      </c>
      <c r="S16" s="169" t="b">
        <f>'[3]Quadro Geral'!L16=H16</f>
        <v>1</v>
      </c>
    </row>
    <row r="17" spans="1:21" s="169" customFormat="1" ht="90.75" customHeight="1" x14ac:dyDescent="0.25">
      <c r="A17" s="12" t="s">
        <v>400</v>
      </c>
      <c r="B17" s="218" t="s">
        <v>223</v>
      </c>
      <c r="C17" s="9" t="s">
        <v>404</v>
      </c>
      <c r="D17" s="9" t="s">
        <v>405</v>
      </c>
      <c r="E17" s="9" t="s">
        <v>29</v>
      </c>
      <c r="F17" s="9" t="s">
        <v>89</v>
      </c>
      <c r="G17" s="9" t="s">
        <v>406</v>
      </c>
      <c r="H17" s="10">
        <v>7842.4000000000005</v>
      </c>
      <c r="I17" s="10">
        <f>'Anexo 3. Elemento de Despesas'!Q16</f>
        <v>15000</v>
      </c>
      <c r="J17" s="107">
        <f t="shared" si="1"/>
        <v>7157.5999999999995</v>
      </c>
      <c r="K17" s="108">
        <f t="shared" si="2"/>
        <v>91.267979190043846</v>
      </c>
      <c r="L17" s="169" t="b">
        <f>'[3]Quadro Geral'!A17=A17</f>
        <v>1</v>
      </c>
      <c r="M17" s="169" t="b">
        <f>'[3]Quadro Geral'!B17=B17</f>
        <v>1</v>
      </c>
      <c r="N17" s="169" t="b">
        <f>'[3]Quadro Geral'!D17=C17</f>
        <v>1</v>
      </c>
      <c r="O17" s="169" t="b">
        <f>'[3]Quadro Geral'!E17=D17</f>
        <v>1</v>
      </c>
      <c r="P17" s="169" t="b">
        <f>'[3]Quadro Geral'!F17=E17</f>
        <v>1</v>
      </c>
      <c r="Q17" s="169" t="b">
        <f>'[3]Quadro Geral'!G17=F17</f>
        <v>1</v>
      </c>
      <c r="R17" s="169" t="b">
        <f>'[3]Quadro Geral'!H17=G17</f>
        <v>1</v>
      </c>
      <c r="S17" s="169" t="b">
        <f>'[3]Quadro Geral'!L17=H17</f>
        <v>1</v>
      </c>
    </row>
    <row r="18" spans="1:21" s="169" customFormat="1" ht="90.75" customHeight="1" x14ac:dyDescent="0.25">
      <c r="A18" s="12" t="s">
        <v>400</v>
      </c>
      <c r="B18" s="218" t="s">
        <v>224</v>
      </c>
      <c r="C18" s="9" t="s">
        <v>407</v>
      </c>
      <c r="D18" s="9" t="s">
        <v>408</v>
      </c>
      <c r="E18" s="9" t="s">
        <v>22</v>
      </c>
      <c r="F18" s="9" t="s">
        <v>90</v>
      </c>
      <c r="G18" s="9" t="s">
        <v>409</v>
      </c>
      <c r="H18" s="10">
        <v>200000</v>
      </c>
      <c r="I18" s="10">
        <v>350000</v>
      </c>
      <c r="J18" s="107">
        <f t="shared" si="1"/>
        <v>150000</v>
      </c>
      <c r="K18" s="108">
        <f t="shared" si="2"/>
        <v>75</v>
      </c>
      <c r="L18" s="169" t="b">
        <f>'[3]Quadro Geral'!A18=A18</f>
        <v>1</v>
      </c>
      <c r="M18" s="169" t="b">
        <f>'[3]Quadro Geral'!B18=B18</f>
        <v>0</v>
      </c>
      <c r="N18" s="169" t="b">
        <f>'[3]Quadro Geral'!D18=C18</f>
        <v>1</v>
      </c>
      <c r="O18" s="169" t="b">
        <f>'[3]Quadro Geral'!E18=D18</f>
        <v>1</v>
      </c>
      <c r="P18" s="169" t="b">
        <f>'[3]Quadro Geral'!F18=E18</f>
        <v>1</v>
      </c>
      <c r="Q18" s="169" t="b">
        <f>'[3]Quadro Geral'!G18=F18</f>
        <v>1</v>
      </c>
      <c r="R18" s="169" t="b">
        <f>'[3]Quadro Geral'!H18=G18</f>
        <v>1</v>
      </c>
      <c r="S18" s="169" t="b">
        <f>'[3]Quadro Geral'!L18=H18</f>
        <v>1</v>
      </c>
    </row>
    <row r="19" spans="1:21" s="169" customFormat="1" ht="90.75" customHeight="1" x14ac:dyDescent="0.25">
      <c r="A19" s="12" t="s">
        <v>400</v>
      </c>
      <c r="B19" s="218" t="s">
        <v>224</v>
      </c>
      <c r="C19" s="9" t="s">
        <v>410</v>
      </c>
      <c r="D19" s="9" t="s">
        <v>411</v>
      </c>
      <c r="E19" s="9" t="s">
        <v>22</v>
      </c>
      <c r="F19" s="9" t="s">
        <v>87</v>
      </c>
      <c r="G19" s="9" t="s">
        <v>412</v>
      </c>
      <c r="H19" s="10">
        <v>35000</v>
      </c>
      <c r="I19" s="10">
        <f>'Anexo 3. Elemento de Despesas'!Q18</f>
        <v>150000</v>
      </c>
      <c r="J19" s="107">
        <f t="shared" si="1"/>
        <v>115000</v>
      </c>
      <c r="K19" s="108">
        <f t="shared" si="2"/>
        <v>328.57142857142856</v>
      </c>
      <c r="L19" s="169" t="b">
        <f>'[3]Quadro Geral'!A19=A19</f>
        <v>1</v>
      </c>
      <c r="M19" s="169" t="b">
        <f>'[3]Quadro Geral'!B19=B19</f>
        <v>0</v>
      </c>
      <c r="N19" s="169" t="b">
        <f>'[3]Quadro Geral'!D19=C19</f>
        <v>1</v>
      </c>
      <c r="O19" s="169" t="b">
        <f>'[3]Quadro Geral'!E19=D19</f>
        <v>1</v>
      </c>
      <c r="P19" s="169" t="b">
        <f>'[3]Quadro Geral'!F19=E19</f>
        <v>1</v>
      </c>
      <c r="Q19" s="169" t="b">
        <f>'[3]Quadro Geral'!G19=F19</f>
        <v>1</v>
      </c>
      <c r="R19" s="169" t="b">
        <f>'[3]Quadro Geral'!H19=G19</f>
        <v>1</v>
      </c>
      <c r="S19" s="169" t="b">
        <f>'[3]Quadro Geral'!L19=H19</f>
        <v>1</v>
      </c>
    </row>
    <row r="20" spans="1:21" s="169" customFormat="1" ht="90.75" customHeight="1" x14ac:dyDescent="0.25">
      <c r="A20" s="12" t="s">
        <v>400</v>
      </c>
      <c r="B20" s="218" t="s">
        <v>224</v>
      </c>
      <c r="C20" s="9" t="s">
        <v>413</v>
      </c>
      <c r="D20" s="9" t="s">
        <v>414</v>
      </c>
      <c r="E20" s="9" t="s">
        <v>22</v>
      </c>
      <c r="F20" s="9" t="s">
        <v>90</v>
      </c>
      <c r="G20" s="9" t="s">
        <v>415</v>
      </c>
      <c r="H20" s="10">
        <v>15200</v>
      </c>
      <c r="I20" s="10">
        <f>'Anexo 3. Elemento de Despesas'!Q19</f>
        <v>45000</v>
      </c>
      <c r="J20" s="107">
        <f t="shared" si="1"/>
        <v>29800</v>
      </c>
      <c r="K20" s="108">
        <f t="shared" si="2"/>
        <v>196.05263157894737</v>
      </c>
      <c r="L20" s="169" t="b">
        <f>'[3]Quadro Geral'!A20=A20</f>
        <v>1</v>
      </c>
      <c r="M20" s="169" t="b">
        <f>'[3]Quadro Geral'!B20=B20</f>
        <v>0</v>
      </c>
      <c r="N20" s="169" t="b">
        <f>'[3]Quadro Geral'!D20=C20</f>
        <v>1</v>
      </c>
      <c r="O20" s="169" t="b">
        <f>'[3]Quadro Geral'!E20=D20</f>
        <v>1</v>
      </c>
      <c r="P20" s="169" t="b">
        <f>'[3]Quadro Geral'!F20=E20</f>
        <v>1</v>
      </c>
      <c r="Q20" s="169" t="b">
        <f>'[3]Quadro Geral'!G20=F20</f>
        <v>1</v>
      </c>
      <c r="R20" s="169" t="b">
        <f>'[3]Quadro Geral'!H20=G20</f>
        <v>1</v>
      </c>
      <c r="S20" s="169" t="b">
        <f>'[3]Quadro Geral'!L20=H20</f>
        <v>1</v>
      </c>
    </row>
    <row r="21" spans="1:21" s="169" customFormat="1" ht="90.75" customHeight="1" x14ac:dyDescent="0.25">
      <c r="A21" s="12" t="s">
        <v>400</v>
      </c>
      <c r="B21" s="218" t="s">
        <v>222</v>
      </c>
      <c r="C21" s="9" t="s">
        <v>416</v>
      </c>
      <c r="D21" s="9" t="s">
        <v>417</v>
      </c>
      <c r="E21" s="9" t="s">
        <v>27</v>
      </c>
      <c r="F21" s="9" t="s">
        <v>87</v>
      </c>
      <c r="G21" s="9" t="s">
        <v>409</v>
      </c>
      <c r="H21" s="10">
        <v>300000</v>
      </c>
      <c r="I21" s="10">
        <f>'Anexo 3. Elemento de Despesas'!Q20</f>
        <v>500000</v>
      </c>
      <c r="J21" s="107">
        <f t="shared" si="1"/>
        <v>200000</v>
      </c>
      <c r="K21" s="108">
        <f t="shared" si="2"/>
        <v>66.666666666666657</v>
      </c>
      <c r="L21" s="169" t="b">
        <f>'[3]Quadro Geral'!A21=A21</f>
        <v>1</v>
      </c>
      <c r="M21" s="169" t="b">
        <f>'[3]Quadro Geral'!B21=B21</f>
        <v>1</v>
      </c>
      <c r="N21" s="169" t="b">
        <f>'[3]Quadro Geral'!D21=C21</f>
        <v>1</v>
      </c>
      <c r="O21" s="169" t="b">
        <f>'[3]Quadro Geral'!E21=D21</f>
        <v>1</v>
      </c>
      <c r="P21" s="169" t="b">
        <f>'[3]Quadro Geral'!F21=E21</f>
        <v>1</v>
      </c>
      <c r="Q21" s="169" t="b">
        <f>'[3]Quadro Geral'!G21=F21</f>
        <v>1</v>
      </c>
      <c r="R21" s="169" t="b">
        <f>'[3]Quadro Geral'!H21=G21</f>
        <v>1</v>
      </c>
      <c r="S21" s="169" t="b">
        <f>'[3]Quadro Geral'!L21=H21</f>
        <v>1</v>
      </c>
    </row>
    <row r="22" spans="1:21" s="169" customFormat="1" ht="90.75" customHeight="1" x14ac:dyDescent="0.25">
      <c r="A22" s="12" t="s">
        <v>400</v>
      </c>
      <c r="B22" s="218" t="s">
        <v>222</v>
      </c>
      <c r="C22" s="9" t="s">
        <v>418</v>
      </c>
      <c r="D22" s="9" t="s">
        <v>419</v>
      </c>
      <c r="E22" s="9" t="s">
        <v>107</v>
      </c>
      <c r="F22" s="9" t="s">
        <v>87</v>
      </c>
      <c r="G22" s="9" t="s">
        <v>420</v>
      </c>
      <c r="H22" s="10">
        <f>T22</f>
        <v>25611.96</v>
      </c>
      <c r="I22" s="10">
        <f>'Anexo 3. Elemento de Despesas'!Q21</f>
        <v>30000</v>
      </c>
      <c r="J22" s="107">
        <f t="shared" si="1"/>
        <v>4388.0400000000009</v>
      </c>
      <c r="K22" s="108">
        <f t="shared" si="2"/>
        <v>17.13277703073096</v>
      </c>
      <c r="L22" s="169" t="b">
        <f>'[3]Quadro Geral'!A22=A22</f>
        <v>1</v>
      </c>
      <c r="M22" s="169" t="b">
        <f>'[3]Quadro Geral'!B22=B22</f>
        <v>1</v>
      </c>
      <c r="N22" s="169" t="b">
        <f>'[3]Quadro Geral'!D22=C22</f>
        <v>1</v>
      </c>
      <c r="O22" s="169" t="b">
        <f>'[3]Quadro Geral'!E22=D22</f>
        <v>1</v>
      </c>
      <c r="P22" s="169" t="b">
        <f>'[3]Quadro Geral'!F22=E22</f>
        <v>1</v>
      </c>
      <c r="Q22" s="169" t="b">
        <f>'[3]Quadro Geral'!G22=F22</f>
        <v>1</v>
      </c>
      <c r="R22" s="169" t="b">
        <f>'[3]Quadro Geral'!H22=G22</f>
        <v>1</v>
      </c>
      <c r="S22" s="169" t="b">
        <f>'[3]Quadro Geral'!L22=H22</f>
        <v>1</v>
      </c>
      <c r="T22" s="220">
        <f>'[3]Quadro Geral'!$L$22</f>
        <v>25611.96</v>
      </c>
      <c r="U22" s="220"/>
    </row>
    <row r="23" spans="1:21" s="169" customFormat="1" ht="90.75" customHeight="1" x14ac:dyDescent="0.25">
      <c r="A23" s="12" t="s">
        <v>400</v>
      </c>
      <c r="B23" s="218" t="s">
        <v>222</v>
      </c>
      <c r="C23" s="9" t="s">
        <v>421</v>
      </c>
      <c r="D23" s="9" t="s">
        <v>422</v>
      </c>
      <c r="E23" s="9" t="s">
        <v>26</v>
      </c>
      <c r="F23" s="9" t="s">
        <v>89</v>
      </c>
      <c r="G23" s="9" t="s">
        <v>423</v>
      </c>
      <c r="H23" s="10">
        <v>11636.14</v>
      </c>
      <c r="I23" s="10">
        <f>'Anexo 3. Elemento de Despesas'!Q22</f>
        <v>15000</v>
      </c>
      <c r="J23" s="107">
        <f t="shared" si="1"/>
        <v>3363.8600000000006</v>
      </c>
      <c r="K23" s="108">
        <f t="shared" si="2"/>
        <v>28.908727464605967</v>
      </c>
      <c r="L23" s="169" t="b">
        <f>'[3]Quadro Geral'!A23=A23</f>
        <v>1</v>
      </c>
      <c r="M23" s="169" t="b">
        <f>'[3]Quadro Geral'!B23=B23</f>
        <v>1</v>
      </c>
      <c r="N23" s="169" t="b">
        <f>'[3]Quadro Geral'!D23=C23</f>
        <v>1</v>
      </c>
      <c r="O23" s="169" t="b">
        <f>'[3]Quadro Geral'!E23=D23</f>
        <v>1</v>
      </c>
      <c r="P23" s="169" t="b">
        <f>'[3]Quadro Geral'!F23=E23</f>
        <v>1</v>
      </c>
      <c r="Q23" s="169" t="b">
        <f>'[3]Quadro Geral'!G23=F23</f>
        <v>1</v>
      </c>
      <c r="R23" s="169" t="b">
        <f>'[3]Quadro Geral'!H23=G23</f>
        <v>1</v>
      </c>
      <c r="S23" s="169" t="b">
        <f>'[3]Quadro Geral'!L23=H23</f>
        <v>1</v>
      </c>
    </row>
    <row r="24" spans="1:21" s="169" customFormat="1" ht="90.75" customHeight="1" x14ac:dyDescent="0.25">
      <c r="A24" s="12" t="s">
        <v>400</v>
      </c>
      <c r="B24" s="218" t="s">
        <v>223</v>
      </c>
      <c r="C24" s="9" t="s">
        <v>424</v>
      </c>
      <c r="D24" s="9" t="s">
        <v>425</v>
      </c>
      <c r="E24" s="9" t="s">
        <v>30</v>
      </c>
      <c r="F24" s="9" t="s">
        <v>85</v>
      </c>
      <c r="G24" s="9" t="s">
        <v>426</v>
      </c>
      <c r="H24" s="10">
        <f>T24</f>
        <v>135158.09</v>
      </c>
      <c r="I24" s="10">
        <f>'Anexo 3. Elemento de Despesas'!Q23</f>
        <v>189000</v>
      </c>
      <c r="J24" s="107">
        <f t="shared" si="1"/>
        <v>53841.91</v>
      </c>
      <c r="K24" s="108">
        <f t="shared" si="2"/>
        <v>39.836246576139104</v>
      </c>
      <c r="L24" s="169" t="b">
        <f>'[3]Quadro Geral'!A24=A24</f>
        <v>1</v>
      </c>
      <c r="M24" s="169" t="b">
        <f>'[3]Quadro Geral'!B24=B24</f>
        <v>1</v>
      </c>
      <c r="N24" s="169" t="b">
        <f>'[3]Quadro Geral'!D24=C24</f>
        <v>1</v>
      </c>
      <c r="O24" s="169" t="b">
        <f>'[3]Quadro Geral'!E24=D24</f>
        <v>1</v>
      </c>
      <c r="P24" s="169" t="b">
        <f>'[3]Quadro Geral'!F24=E24</f>
        <v>1</v>
      </c>
      <c r="Q24" s="169" t="b">
        <f>'[3]Quadro Geral'!G24=F24</f>
        <v>1</v>
      </c>
      <c r="R24" s="169" t="b">
        <f>'[3]Quadro Geral'!H24=G24</f>
        <v>1</v>
      </c>
      <c r="S24" s="169" t="b">
        <f>'[3]Quadro Geral'!L24=H24</f>
        <v>1</v>
      </c>
      <c r="T24" s="220">
        <f>'[3]Quadro Geral'!L24</f>
        <v>135158.09</v>
      </c>
      <c r="U24" s="220"/>
    </row>
    <row r="25" spans="1:21" s="169" customFormat="1" ht="90.75" customHeight="1" x14ac:dyDescent="0.25">
      <c r="A25" s="12" t="s">
        <v>400</v>
      </c>
      <c r="B25" s="218" t="s">
        <v>223</v>
      </c>
      <c r="C25" s="9" t="s">
        <v>427</v>
      </c>
      <c r="D25" s="9" t="s">
        <v>21</v>
      </c>
      <c r="E25" s="9" t="s">
        <v>101</v>
      </c>
      <c r="F25" s="9" t="s">
        <v>89</v>
      </c>
      <c r="G25" s="9" t="s">
        <v>428</v>
      </c>
      <c r="H25" s="10">
        <v>67231.539999999994</v>
      </c>
      <c r="I25" s="10">
        <f>'Anexo 3. Elemento de Despesas'!Q24</f>
        <v>155526.01999999999</v>
      </c>
      <c r="J25" s="107">
        <f t="shared" si="1"/>
        <v>88294.48</v>
      </c>
      <c r="K25" s="108">
        <f t="shared" si="2"/>
        <v>131.32895661768271</v>
      </c>
      <c r="L25" s="169" t="b">
        <f>'[3]Quadro Geral'!A25=A25</f>
        <v>1</v>
      </c>
      <c r="M25" s="169" t="b">
        <f>'[3]Quadro Geral'!B25=B25</f>
        <v>1</v>
      </c>
      <c r="N25" s="169" t="b">
        <f>'[3]Quadro Geral'!D25=C25</f>
        <v>1</v>
      </c>
      <c r="O25" s="169" t="b">
        <f>'[3]Quadro Geral'!E25=D25</f>
        <v>1</v>
      </c>
      <c r="P25" s="169" t="b">
        <f>'[3]Quadro Geral'!F25=E25</f>
        <v>1</v>
      </c>
      <c r="Q25" s="169" t="b">
        <f>'[3]Quadro Geral'!G25=F25</f>
        <v>1</v>
      </c>
      <c r="R25" s="169" t="b">
        <f>'[3]Quadro Geral'!H25=G25</f>
        <v>1</v>
      </c>
      <c r="S25" s="169" t="b">
        <f>'[3]Quadro Geral'!L25=H25</f>
        <v>1</v>
      </c>
      <c r="T25" s="220"/>
    </row>
    <row r="26" spans="1:21" s="169" customFormat="1" ht="90.75" customHeight="1" x14ac:dyDescent="0.25">
      <c r="A26" s="12" t="s">
        <v>429</v>
      </c>
      <c r="B26" s="218" t="s">
        <v>223</v>
      </c>
      <c r="C26" s="9" t="s">
        <v>430</v>
      </c>
      <c r="D26" s="9" t="s">
        <v>431</v>
      </c>
      <c r="E26" s="9" t="s">
        <v>25</v>
      </c>
      <c r="F26" s="9" t="s">
        <v>89</v>
      </c>
      <c r="G26" s="9" t="s">
        <v>432</v>
      </c>
      <c r="H26" s="10">
        <v>771063.97</v>
      </c>
      <c r="I26" s="10">
        <f>'Anexo 3. Elemento de Despesas'!Q25</f>
        <v>826930.67999999993</v>
      </c>
      <c r="J26" s="107">
        <f t="shared" si="1"/>
        <v>55866.709999999963</v>
      </c>
      <c r="K26" s="108">
        <f t="shared" si="2"/>
        <v>7.2454053325821928</v>
      </c>
      <c r="L26" s="169" t="b">
        <f>'[3]Quadro Geral'!A26=A26</f>
        <v>1</v>
      </c>
      <c r="M26" s="169" t="b">
        <f>'[3]Quadro Geral'!B26=B26</f>
        <v>1</v>
      </c>
      <c r="N26" s="169" t="b">
        <f>'[3]Quadro Geral'!D26=C26</f>
        <v>1</v>
      </c>
      <c r="O26" s="169" t="b">
        <f>'[3]Quadro Geral'!E26=D26</f>
        <v>1</v>
      </c>
      <c r="P26" s="169" t="b">
        <f>'[3]Quadro Geral'!F26=E26</f>
        <v>1</v>
      </c>
      <c r="Q26" s="169" t="b">
        <f>'[3]Quadro Geral'!G26=F26</f>
        <v>1</v>
      </c>
      <c r="R26" s="169" t="b">
        <f>'[3]Quadro Geral'!H26=G26</f>
        <v>1</v>
      </c>
      <c r="S26" s="169" t="b">
        <f>'[3]Quadro Geral'!L26=H26</f>
        <v>1</v>
      </c>
      <c r="T26" s="220"/>
    </row>
    <row r="27" spans="1:21" s="169" customFormat="1" ht="90.75" customHeight="1" x14ac:dyDescent="0.25">
      <c r="A27" s="12" t="s">
        <v>433</v>
      </c>
      <c r="B27" s="218" t="s">
        <v>223</v>
      </c>
      <c r="C27" s="9" t="s">
        <v>434</v>
      </c>
      <c r="D27" s="9" t="s">
        <v>435</v>
      </c>
      <c r="E27" s="9" t="s">
        <v>22</v>
      </c>
      <c r="F27" s="9" t="s">
        <v>90</v>
      </c>
      <c r="G27" s="9" t="s">
        <v>436</v>
      </c>
      <c r="H27" s="10">
        <f>T27</f>
        <v>310826.2</v>
      </c>
      <c r="I27" s="10">
        <f>'Anexo 3. Elemento de Despesas'!Q26</f>
        <v>308641.88</v>
      </c>
      <c r="J27" s="107">
        <f t="shared" si="1"/>
        <v>-2184.320000000007</v>
      </c>
      <c r="K27" s="108">
        <f t="shared" si="2"/>
        <v>-0.70274642227714612</v>
      </c>
      <c r="L27" s="169" t="b">
        <f>'[3]Quadro Geral'!A27=A27</f>
        <v>1</v>
      </c>
      <c r="M27" s="169" t="b">
        <f>'[3]Quadro Geral'!B27=B27</f>
        <v>1</v>
      </c>
      <c r="N27" s="169" t="b">
        <f>'[3]Quadro Geral'!D27=C27</f>
        <v>1</v>
      </c>
      <c r="O27" s="169" t="b">
        <f>'[3]Quadro Geral'!E27=D27</f>
        <v>1</v>
      </c>
      <c r="P27" s="169" t="b">
        <f>'[3]Quadro Geral'!F27=E27</f>
        <v>1</v>
      </c>
      <c r="Q27" s="169" t="b">
        <f>'[3]Quadro Geral'!G27=F27</f>
        <v>1</v>
      </c>
      <c r="R27" s="169" t="b">
        <f>'[3]Quadro Geral'!H27=G27</f>
        <v>1</v>
      </c>
      <c r="S27" s="169" t="b">
        <f>'[3]Quadro Geral'!L27=H27</f>
        <v>1</v>
      </c>
      <c r="T27" s="220">
        <f>'[3]Quadro Geral'!L27</f>
        <v>310826.2</v>
      </c>
      <c r="U27" s="220"/>
    </row>
    <row r="28" spans="1:21" s="169" customFormat="1" ht="90.75" customHeight="1" x14ac:dyDescent="0.25">
      <c r="A28" s="12" t="s">
        <v>433</v>
      </c>
      <c r="B28" s="218" t="s">
        <v>223</v>
      </c>
      <c r="C28" s="9" t="s">
        <v>437</v>
      </c>
      <c r="D28" s="9" t="s">
        <v>438</v>
      </c>
      <c r="E28" s="9" t="s">
        <v>31</v>
      </c>
      <c r="F28" s="9" t="s">
        <v>84</v>
      </c>
      <c r="G28" s="9" t="s">
        <v>439</v>
      </c>
      <c r="H28" s="10">
        <v>484977.15</v>
      </c>
      <c r="I28" s="10">
        <f>'Anexo 3. Elemento de Despesas'!Q27</f>
        <v>1874803.62</v>
      </c>
      <c r="J28" s="107">
        <f t="shared" si="1"/>
        <v>1389826.4700000002</v>
      </c>
      <c r="K28" s="108">
        <f t="shared" si="2"/>
        <v>286.57566031719227</v>
      </c>
      <c r="L28" s="169" t="b">
        <f>'[3]Quadro Geral'!A28=A28</f>
        <v>1</v>
      </c>
      <c r="M28" s="169" t="b">
        <f>'[3]Quadro Geral'!B28=B28</f>
        <v>1</v>
      </c>
      <c r="N28" s="169" t="b">
        <f>'[3]Quadro Geral'!D28=C28</f>
        <v>1</v>
      </c>
      <c r="O28" s="169" t="b">
        <f>'[3]Quadro Geral'!E28=D28</f>
        <v>1</v>
      </c>
      <c r="P28" s="169" t="b">
        <f>'[3]Quadro Geral'!F28=E28</f>
        <v>1</v>
      </c>
      <c r="Q28" s="169" t="b">
        <f>'[3]Quadro Geral'!G28=F28</f>
        <v>1</v>
      </c>
      <c r="R28" s="169" t="b">
        <f>'[3]Quadro Geral'!H28=G28</f>
        <v>1</v>
      </c>
      <c r="S28" s="169" t="b">
        <f>'[3]Quadro Geral'!L28=H28</f>
        <v>1</v>
      </c>
      <c r="T28" s="220"/>
    </row>
    <row r="29" spans="1:21" s="169" customFormat="1" ht="90.75" customHeight="1" x14ac:dyDescent="0.25">
      <c r="A29" s="12" t="s">
        <v>433</v>
      </c>
      <c r="B29" s="218" t="s">
        <v>222</v>
      </c>
      <c r="C29" s="9" t="s">
        <v>440</v>
      </c>
      <c r="D29" s="9" t="s">
        <v>441</v>
      </c>
      <c r="E29" s="9" t="s">
        <v>32</v>
      </c>
      <c r="F29" s="9" t="s">
        <v>89</v>
      </c>
      <c r="G29" s="9" t="s">
        <v>442</v>
      </c>
      <c r="H29" s="10">
        <v>429402.82</v>
      </c>
      <c r="I29" s="10">
        <f>'Anexo 3. Elemento de Despesas'!Q28</f>
        <v>575000</v>
      </c>
      <c r="J29" s="107">
        <f t="shared" si="1"/>
        <v>145597.18</v>
      </c>
      <c r="K29" s="108">
        <f t="shared" si="2"/>
        <v>33.906898888088342</v>
      </c>
      <c r="L29" s="169" t="b">
        <f>'[3]Quadro Geral'!A29=A29</f>
        <v>1</v>
      </c>
      <c r="M29" s="169" t="b">
        <f>'[3]Quadro Geral'!B29=B29</f>
        <v>1</v>
      </c>
      <c r="N29" s="169" t="b">
        <f>'[3]Quadro Geral'!D29=C29</f>
        <v>1</v>
      </c>
      <c r="O29" s="169" t="b">
        <f>'[3]Quadro Geral'!E29=D29</f>
        <v>1</v>
      </c>
      <c r="P29" s="169" t="b">
        <f>'[3]Quadro Geral'!F29=E29</f>
        <v>1</v>
      </c>
      <c r="Q29" s="169" t="b">
        <f>'[3]Quadro Geral'!G29=F29</f>
        <v>1</v>
      </c>
      <c r="R29" s="169" t="b">
        <f>'[3]Quadro Geral'!H29=G29</f>
        <v>1</v>
      </c>
      <c r="S29" s="169" t="b">
        <f>'[3]Quadro Geral'!L29=H29</f>
        <v>1</v>
      </c>
    </row>
    <row r="30" spans="1:21" s="169" customFormat="1" ht="90.75" customHeight="1" x14ac:dyDescent="0.25">
      <c r="A30" s="12" t="s">
        <v>443</v>
      </c>
      <c r="B30" s="218" t="s">
        <v>223</v>
      </c>
      <c r="C30" s="9" t="s">
        <v>444</v>
      </c>
      <c r="D30" s="9" t="s">
        <v>445</v>
      </c>
      <c r="E30" s="9" t="s">
        <v>29</v>
      </c>
      <c r="F30" s="9" t="s">
        <v>89</v>
      </c>
      <c r="G30" s="9" t="s">
        <v>446</v>
      </c>
      <c r="H30" s="10">
        <v>516624.35</v>
      </c>
      <c r="I30" s="10">
        <f>'Anexo 3. Elemento de Despesas'!Q29</f>
        <v>738776.92</v>
      </c>
      <c r="J30" s="107">
        <f t="shared" si="1"/>
        <v>222152.57000000007</v>
      </c>
      <c r="K30" s="108">
        <f t="shared" si="2"/>
        <v>43.000793516604489</v>
      </c>
      <c r="L30" s="169" t="b">
        <f>'[3]Quadro Geral'!A30=A30</f>
        <v>1</v>
      </c>
      <c r="M30" s="169" t="b">
        <f>'[3]Quadro Geral'!B30=B30</f>
        <v>1</v>
      </c>
      <c r="N30" s="169" t="b">
        <f>'[3]Quadro Geral'!D30=C30</f>
        <v>1</v>
      </c>
      <c r="O30" s="169" t="b">
        <f>'[3]Quadro Geral'!E30=D30</f>
        <v>1</v>
      </c>
      <c r="P30" s="169" t="b">
        <f>'[3]Quadro Geral'!F30=E30</f>
        <v>1</v>
      </c>
      <c r="Q30" s="169" t="b">
        <f>'[3]Quadro Geral'!G30=F30</f>
        <v>1</v>
      </c>
      <c r="R30" s="169" t="b">
        <f>'[3]Quadro Geral'!H30=G30</f>
        <v>1</v>
      </c>
      <c r="S30" s="169" t="b">
        <f>'[3]Quadro Geral'!L30=H30</f>
        <v>1</v>
      </c>
      <c r="T30" s="220"/>
      <c r="U30" s="220"/>
    </row>
    <row r="31" spans="1:21" s="169" customFormat="1" ht="90.75" customHeight="1" x14ac:dyDescent="0.25">
      <c r="A31" s="12" t="s">
        <v>447</v>
      </c>
      <c r="B31" s="218" t="s">
        <v>223</v>
      </c>
      <c r="C31" s="9" t="s">
        <v>448</v>
      </c>
      <c r="D31" s="9" t="s">
        <v>449</v>
      </c>
      <c r="E31" s="9" t="s">
        <v>20</v>
      </c>
      <c r="F31" s="9" t="s">
        <v>87</v>
      </c>
      <c r="G31" s="9" t="s">
        <v>450</v>
      </c>
      <c r="H31" s="10">
        <v>1430264.7399999998</v>
      </c>
      <c r="I31" s="10">
        <f>'Anexo 3. Elemento de Despesas'!Q30</f>
        <v>1696891.75</v>
      </c>
      <c r="J31" s="107">
        <f t="shared" si="1"/>
        <v>266627.01000000024</v>
      </c>
      <c r="K31" s="108">
        <f t="shared" si="2"/>
        <v>18.641794245728263</v>
      </c>
      <c r="L31" s="169" t="b">
        <f>'[3]Quadro Geral'!A31=A31</f>
        <v>1</v>
      </c>
      <c r="M31" s="169" t="b">
        <f>'[3]Quadro Geral'!B31=B31</f>
        <v>1</v>
      </c>
      <c r="N31" s="169" t="b">
        <f>'[3]Quadro Geral'!D31=C31</f>
        <v>1</v>
      </c>
      <c r="O31" s="169" t="b">
        <f>'[3]Quadro Geral'!E31=D31</f>
        <v>1</v>
      </c>
      <c r="P31" s="169" t="b">
        <f>'[3]Quadro Geral'!F31=E31</f>
        <v>1</v>
      </c>
      <c r="Q31" s="169" t="b">
        <f>'[3]Quadro Geral'!G31=F31</f>
        <v>1</v>
      </c>
      <c r="R31" s="169" t="b">
        <f>'[3]Quadro Geral'!H31=G31</f>
        <v>1</v>
      </c>
      <c r="S31" s="169" t="b">
        <f>'[3]Quadro Geral'!L31=H31</f>
        <v>1</v>
      </c>
    </row>
    <row r="32" spans="1:21" s="169" customFormat="1" ht="90.75" customHeight="1" x14ac:dyDescent="0.25">
      <c r="A32" s="12" t="s">
        <v>451</v>
      </c>
      <c r="B32" s="218" t="s">
        <v>223</v>
      </c>
      <c r="C32" s="9" t="s">
        <v>452</v>
      </c>
      <c r="D32" s="9" t="s">
        <v>453</v>
      </c>
      <c r="E32" s="9" t="s">
        <v>20</v>
      </c>
      <c r="F32" s="9" t="s">
        <v>87</v>
      </c>
      <c r="G32" s="9" t="s">
        <v>454</v>
      </c>
      <c r="H32" s="10">
        <f>T32</f>
        <v>214535.81</v>
      </c>
      <c r="I32" s="10">
        <f>'Anexo 3. Elemento de Despesas'!Q31</f>
        <v>387000</v>
      </c>
      <c r="J32" s="107">
        <f t="shared" si="1"/>
        <v>172464.19</v>
      </c>
      <c r="K32" s="108">
        <f t="shared" si="2"/>
        <v>80.389465050147109</v>
      </c>
      <c r="L32" s="169" t="b">
        <f>'[3]Quadro Geral'!A32=A32</f>
        <v>1</v>
      </c>
      <c r="M32" s="169" t="b">
        <f>'[3]Quadro Geral'!B32=B32</f>
        <v>1</v>
      </c>
      <c r="N32" s="169" t="b">
        <f>'[3]Quadro Geral'!D32=C32</f>
        <v>1</v>
      </c>
      <c r="O32" s="169" t="b">
        <f>'[3]Quadro Geral'!E32=D32</f>
        <v>1</v>
      </c>
      <c r="P32" s="169" t="b">
        <f>'[3]Quadro Geral'!F32=E32</f>
        <v>1</v>
      </c>
      <c r="Q32" s="169" t="b">
        <f>'[3]Quadro Geral'!G32=F32</f>
        <v>1</v>
      </c>
      <c r="R32" s="169" t="b">
        <f>'[3]Quadro Geral'!H32=G32</f>
        <v>1</v>
      </c>
      <c r="S32" s="169" t="b">
        <f>'[3]Quadro Geral'!L32=H32</f>
        <v>1</v>
      </c>
      <c r="T32" s="220">
        <f>'[3]Quadro Geral'!L32</f>
        <v>214535.81</v>
      </c>
      <c r="U32" s="220"/>
    </row>
    <row r="33" spans="1:21" s="169" customFormat="1" ht="90.75" customHeight="1" x14ac:dyDescent="0.25">
      <c r="A33" s="12" t="s">
        <v>455</v>
      </c>
      <c r="B33" s="218" t="s">
        <v>223</v>
      </c>
      <c r="C33" s="9" t="s">
        <v>456</v>
      </c>
      <c r="D33" s="9" t="s">
        <v>449</v>
      </c>
      <c r="E33" s="9" t="s">
        <v>20</v>
      </c>
      <c r="F33" s="9" t="s">
        <v>87</v>
      </c>
      <c r="G33" s="9" t="s">
        <v>457</v>
      </c>
      <c r="H33" s="10">
        <v>835776.41000000015</v>
      </c>
      <c r="I33" s="10">
        <f>'Anexo 3. Elemento de Despesas'!Q32</f>
        <v>976047.04</v>
      </c>
      <c r="J33" s="107">
        <f t="shared" si="1"/>
        <v>140270.62999999989</v>
      </c>
      <c r="K33" s="108">
        <f t="shared" si="2"/>
        <v>16.783272215113115</v>
      </c>
      <c r="L33" s="169" t="b">
        <f>'[3]Quadro Geral'!A33=A33</f>
        <v>1</v>
      </c>
      <c r="M33" s="169" t="b">
        <f>'[3]Quadro Geral'!B33=B33</f>
        <v>1</v>
      </c>
      <c r="N33" s="169" t="b">
        <f>'[3]Quadro Geral'!D33=C33</f>
        <v>1</v>
      </c>
      <c r="O33" s="169" t="b">
        <f>'[3]Quadro Geral'!E33=D33</f>
        <v>1</v>
      </c>
      <c r="P33" s="169" t="b">
        <f>'[3]Quadro Geral'!F33=E33</f>
        <v>1</v>
      </c>
      <c r="Q33" s="169" t="b">
        <f>'[3]Quadro Geral'!G33=F33</f>
        <v>1</v>
      </c>
      <c r="R33" s="169" t="b">
        <f>'[3]Quadro Geral'!H33=G33</f>
        <v>1</v>
      </c>
      <c r="S33" s="169" t="b">
        <f>'[3]Quadro Geral'!L33=H33</f>
        <v>1</v>
      </c>
      <c r="U33" s="254">
        <f>'Diretrizes - Resumo'!AL3</f>
        <v>976047.04</v>
      </c>
    </row>
    <row r="34" spans="1:21" s="169" customFormat="1" ht="90.75" customHeight="1" x14ac:dyDescent="0.25">
      <c r="A34" s="12" t="s">
        <v>458</v>
      </c>
      <c r="B34" s="218" t="s">
        <v>223</v>
      </c>
      <c r="C34" s="9" t="s">
        <v>459</v>
      </c>
      <c r="D34" s="9" t="s">
        <v>460</v>
      </c>
      <c r="E34" s="9" t="s">
        <v>101</v>
      </c>
      <c r="F34" s="9" t="s">
        <v>87</v>
      </c>
      <c r="G34" s="9" t="s">
        <v>461</v>
      </c>
      <c r="H34" s="10">
        <v>1753869.85</v>
      </c>
      <c r="I34" s="10">
        <f>'Anexo 3. Elemento de Despesas'!Q33</f>
        <v>2491321.2599999998</v>
      </c>
      <c r="J34" s="107">
        <f t="shared" si="1"/>
        <v>737451.40999999968</v>
      </c>
      <c r="K34" s="108">
        <f t="shared" si="2"/>
        <v>42.047100017142078</v>
      </c>
      <c r="L34" s="169" t="b">
        <f>'[3]Quadro Geral'!A34=A34</f>
        <v>1</v>
      </c>
      <c r="M34" s="169" t="b">
        <f>'[3]Quadro Geral'!B34=B34</f>
        <v>1</v>
      </c>
      <c r="N34" s="169" t="b">
        <f>'[3]Quadro Geral'!D34=C34</f>
        <v>1</v>
      </c>
      <c r="O34" s="169" t="b">
        <f>'[3]Quadro Geral'!E34=D34</f>
        <v>1</v>
      </c>
      <c r="P34" s="169" t="b">
        <f>'[3]Quadro Geral'!F34=E34</f>
        <v>1</v>
      </c>
      <c r="Q34" s="169" t="b">
        <f>'[3]Quadro Geral'!G34=F34</f>
        <v>1</v>
      </c>
      <c r="R34" s="169" t="b">
        <f>'[3]Quadro Geral'!H34=G34</f>
        <v>1</v>
      </c>
      <c r="S34" s="169" t="b">
        <f>'[3]Quadro Geral'!L34=H34</f>
        <v>1</v>
      </c>
      <c r="T34" s="220"/>
      <c r="U34" s="220"/>
    </row>
    <row r="35" spans="1:21" s="169" customFormat="1" ht="90.75" customHeight="1" x14ac:dyDescent="0.25">
      <c r="A35" s="12" t="s">
        <v>462</v>
      </c>
      <c r="B35" s="218" t="s">
        <v>223</v>
      </c>
      <c r="C35" s="9" t="s">
        <v>463</v>
      </c>
      <c r="D35" s="9" t="s">
        <v>464</v>
      </c>
      <c r="E35" s="9" t="s">
        <v>101</v>
      </c>
      <c r="F35" s="9" t="s">
        <v>89</v>
      </c>
      <c r="G35" s="9" t="s">
        <v>457</v>
      </c>
      <c r="H35" s="10">
        <v>110251.54999999999</v>
      </c>
      <c r="I35" s="10">
        <f>'Anexo 3. Elemento de Despesas'!Q34</f>
        <v>132355.51999999999</v>
      </c>
      <c r="J35" s="107">
        <f t="shared" si="1"/>
        <v>22103.97</v>
      </c>
      <c r="K35" s="108">
        <f t="shared" si="2"/>
        <v>20.048670517557351</v>
      </c>
      <c r="L35" s="169" t="b">
        <f>'[3]Quadro Geral'!A35=A35</f>
        <v>1</v>
      </c>
      <c r="M35" s="169" t="b">
        <f>'[3]Quadro Geral'!B35=B35</f>
        <v>1</v>
      </c>
      <c r="N35" s="169" t="b">
        <f>'[3]Quadro Geral'!D35=C35</f>
        <v>1</v>
      </c>
      <c r="O35" s="169" t="b">
        <f>'[3]Quadro Geral'!E35=D35</f>
        <v>1</v>
      </c>
      <c r="P35" s="169" t="b">
        <f>'[3]Quadro Geral'!F35=E35</f>
        <v>1</v>
      </c>
      <c r="Q35" s="169" t="b">
        <f>'[3]Quadro Geral'!G35=F35</f>
        <v>1</v>
      </c>
      <c r="R35" s="169" t="b">
        <f>'[3]Quadro Geral'!H35=G35</f>
        <v>1</v>
      </c>
      <c r="S35" s="169" t="b">
        <f>'[3]Quadro Geral'!L35=H35</f>
        <v>1</v>
      </c>
      <c r="U35" s="254">
        <f>'Diretrizes - Resumo'!AL4</f>
        <v>132355.51999999999</v>
      </c>
    </row>
    <row r="36" spans="1:21" s="169" customFormat="1" ht="90.75" customHeight="1" x14ac:dyDescent="0.25">
      <c r="A36" s="12" t="s">
        <v>465</v>
      </c>
      <c r="B36" s="218" t="s">
        <v>223</v>
      </c>
      <c r="C36" s="9" t="s">
        <v>466</v>
      </c>
      <c r="D36" s="9" t="s">
        <v>467</v>
      </c>
      <c r="E36" s="9" t="s">
        <v>29</v>
      </c>
      <c r="F36" s="9" t="s">
        <v>89</v>
      </c>
      <c r="G36" s="9" t="s">
        <v>468</v>
      </c>
      <c r="H36" s="10">
        <v>684092.63</v>
      </c>
      <c r="I36" s="10">
        <f>'Anexo 3. Elemento de Despesas'!Q35</f>
        <v>910050.19</v>
      </c>
      <c r="J36" s="107">
        <f t="shared" si="1"/>
        <v>225957.55999999994</v>
      </c>
      <c r="K36" s="108">
        <f t="shared" si="2"/>
        <v>33.030257905278113</v>
      </c>
      <c r="L36" s="169" t="b">
        <f>'[3]Quadro Geral'!A36=A36</f>
        <v>1</v>
      </c>
      <c r="M36" s="169" t="b">
        <f>'[3]Quadro Geral'!B36=B36</f>
        <v>1</v>
      </c>
      <c r="N36" s="169" t="b">
        <f>'[3]Quadro Geral'!D36=C36</f>
        <v>1</v>
      </c>
      <c r="O36" s="169" t="b">
        <f>'[3]Quadro Geral'!E36=D36</f>
        <v>1</v>
      </c>
      <c r="P36" s="169" t="b">
        <f>'[3]Quadro Geral'!F36=E36</f>
        <v>1</v>
      </c>
      <c r="Q36" s="169" t="b">
        <f>'[3]Quadro Geral'!G36=F36</f>
        <v>1</v>
      </c>
      <c r="R36" s="169" t="b">
        <f>'[3]Quadro Geral'!H36=G36</f>
        <v>1</v>
      </c>
      <c r="S36" s="169" t="b">
        <f>'[3]Quadro Geral'!L36=H36</f>
        <v>1</v>
      </c>
      <c r="T36" s="220"/>
      <c r="U36" s="220"/>
    </row>
    <row r="37" spans="1:21" s="169" customFormat="1" ht="90.75" customHeight="1" x14ac:dyDescent="0.25">
      <c r="A37" s="12" t="s">
        <v>469</v>
      </c>
      <c r="B37" s="218" t="s">
        <v>223</v>
      </c>
      <c r="C37" s="9" t="s">
        <v>470</v>
      </c>
      <c r="D37" s="9" t="s">
        <v>471</v>
      </c>
      <c r="E37" s="9" t="s">
        <v>28</v>
      </c>
      <c r="F37" s="9" t="s">
        <v>89</v>
      </c>
      <c r="G37" s="9" t="s">
        <v>472</v>
      </c>
      <c r="H37" s="10">
        <v>164213.18</v>
      </c>
      <c r="I37" s="10">
        <f>'Anexo 3. Elemento de Despesas'!Q36</f>
        <v>177637.15</v>
      </c>
      <c r="J37" s="107">
        <f t="shared" si="1"/>
        <v>13423.970000000001</v>
      </c>
      <c r="K37" s="108">
        <f t="shared" si="2"/>
        <v>8.1747214200467955</v>
      </c>
      <c r="L37" s="169" t="b">
        <f>'[3]Quadro Geral'!A37=A37</f>
        <v>1</v>
      </c>
      <c r="M37" s="169" t="b">
        <f>'[3]Quadro Geral'!B37=B37</f>
        <v>1</v>
      </c>
      <c r="N37" s="169" t="b">
        <f>'[3]Quadro Geral'!D37=C37</f>
        <v>1</v>
      </c>
      <c r="O37" s="169" t="b">
        <f>'[3]Quadro Geral'!E37=D37</f>
        <v>1</v>
      </c>
      <c r="P37" s="169" t="b">
        <f>'[3]Quadro Geral'!F37=E37</f>
        <v>1</v>
      </c>
      <c r="Q37" s="169" t="b">
        <f>'[3]Quadro Geral'!G37=F37</f>
        <v>1</v>
      </c>
      <c r="R37" s="169" t="b">
        <f>'[3]Quadro Geral'!H37=G37</f>
        <v>1</v>
      </c>
      <c r="S37" s="169" t="b">
        <f>'[3]Quadro Geral'!L37=H37</f>
        <v>1</v>
      </c>
      <c r="U37" s="254">
        <f>'Diretrizes - Resumo'!AL5</f>
        <v>177637.14742876624</v>
      </c>
    </row>
    <row r="38" spans="1:21" s="169" customFormat="1" ht="90.75" customHeight="1" x14ac:dyDescent="0.25">
      <c r="A38" s="12" t="s">
        <v>469</v>
      </c>
      <c r="B38" s="218" t="s">
        <v>223</v>
      </c>
      <c r="C38" s="9" t="s">
        <v>473</v>
      </c>
      <c r="D38" s="9" t="s">
        <v>474</v>
      </c>
      <c r="E38" s="9" t="s">
        <v>28</v>
      </c>
      <c r="F38" s="9" t="s">
        <v>89</v>
      </c>
      <c r="G38" s="9" t="s">
        <v>475</v>
      </c>
      <c r="H38" s="10">
        <v>60000</v>
      </c>
      <c r="I38" s="10">
        <f>'Anexo 3. Elemento de Despesas'!Q37</f>
        <v>40000</v>
      </c>
      <c r="J38" s="107">
        <f t="shared" si="1"/>
        <v>-20000</v>
      </c>
      <c r="K38" s="108">
        <f t="shared" si="2"/>
        <v>-33.333333333333329</v>
      </c>
      <c r="L38" s="169" t="b">
        <f>'[3]Quadro Geral'!A38=A38</f>
        <v>1</v>
      </c>
      <c r="M38" s="169" t="b">
        <f>'[3]Quadro Geral'!B38=B38</f>
        <v>1</v>
      </c>
      <c r="N38" s="169" t="b">
        <f>'[3]Quadro Geral'!D38=C38</f>
        <v>1</v>
      </c>
      <c r="O38" s="169" t="b">
        <f>'[3]Quadro Geral'!E38=D38</f>
        <v>1</v>
      </c>
      <c r="P38" s="169" t="b">
        <f>'[3]Quadro Geral'!F38=E38</f>
        <v>1</v>
      </c>
      <c r="Q38" s="169" t="b">
        <f>'[3]Quadro Geral'!G38=F38</f>
        <v>1</v>
      </c>
      <c r="R38" s="169" t="b">
        <f>'[3]Quadro Geral'!H38=G38</f>
        <v>1</v>
      </c>
      <c r="S38" s="169" t="b">
        <f>'[3]Quadro Geral'!L38=H38</f>
        <v>1</v>
      </c>
    </row>
    <row r="39" spans="1:21" s="169" customFormat="1" ht="90.75" customHeight="1" x14ac:dyDescent="0.25">
      <c r="A39" s="12" t="s">
        <v>469</v>
      </c>
      <c r="B39" s="218" t="s">
        <v>223</v>
      </c>
      <c r="C39" s="9" t="s">
        <v>476</v>
      </c>
      <c r="D39" s="9" t="s">
        <v>477</v>
      </c>
      <c r="E39" s="9" t="s">
        <v>28</v>
      </c>
      <c r="F39" s="9" t="s">
        <v>89</v>
      </c>
      <c r="G39" s="9" t="s">
        <v>478</v>
      </c>
      <c r="H39" s="10">
        <v>2403092.84</v>
      </c>
      <c r="I39" s="10">
        <f>'Anexo 3. Elemento de Despesas'!Q38</f>
        <v>2575029.5700000003</v>
      </c>
      <c r="J39" s="107">
        <f t="shared" si="1"/>
        <v>171936.73000000045</v>
      </c>
      <c r="K39" s="108">
        <f t="shared" si="2"/>
        <v>7.154810132096288</v>
      </c>
      <c r="L39" s="169" t="b">
        <f>'[3]Quadro Geral'!A39=A39</f>
        <v>1</v>
      </c>
      <c r="M39" s="169" t="b">
        <f>'[3]Quadro Geral'!B39=B39</f>
        <v>1</v>
      </c>
      <c r="N39" s="169" t="b">
        <f>'[3]Quadro Geral'!D39=C39</f>
        <v>1</v>
      </c>
      <c r="O39" s="169" t="b">
        <f>'[3]Quadro Geral'!E39=D39</f>
        <v>1</v>
      </c>
      <c r="P39" s="169" t="b">
        <f>'[3]Quadro Geral'!F39=E39</f>
        <v>1</v>
      </c>
      <c r="Q39" s="169" t="b">
        <f>'[3]Quadro Geral'!G39=F39</f>
        <v>1</v>
      </c>
      <c r="R39" s="169" t="b">
        <f>'[3]Quadro Geral'!H39=G39</f>
        <v>1</v>
      </c>
      <c r="S39" s="169" t="b">
        <f>'[3]Quadro Geral'!L39=H39</f>
        <v>1</v>
      </c>
      <c r="T39" s="220"/>
      <c r="U39" s="220"/>
    </row>
    <row r="40" spans="1:21" s="169" customFormat="1" ht="90.75" customHeight="1" x14ac:dyDescent="0.25">
      <c r="A40" s="12" t="s">
        <v>479</v>
      </c>
      <c r="B40" s="218" t="s">
        <v>223</v>
      </c>
      <c r="C40" s="9" t="s">
        <v>480</v>
      </c>
      <c r="D40" s="9" t="s">
        <v>480</v>
      </c>
      <c r="E40" s="9" t="s">
        <v>29</v>
      </c>
      <c r="F40" s="9" t="s">
        <v>90</v>
      </c>
      <c r="G40" s="9" t="s">
        <v>481</v>
      </c>
      <c r="H40" s="10">
        <v>473178.64</v>
      </c>
      <c r="I40" s="10">
        <f>'Anexo 3. Elemento de Despesas'!Q39</f>
        <v>382563.69</v>
      </c>
      <c r="J40" s="107">
        <f t="shared" si="1"/>
        <v>-90614.950000000012</v>
      </c>
      <c r="K40" s="108">
        <f t="shared" si="2"/>
        <v>-19.150262150463938</v>
      </c>
      <c r="L40" s="169" t="b">
        <f>'[3]Quadro Geral'!A40=A40</f>
        <v>1</v>
      </c>
      <c r="M40" s="169" t="b">
        <f>'[3]Quadro Geral'!B40=B40</f>
        <v>1</v>
      </c>
      <c r="N40" s="169" t="b">
        <f>'[3]Quadro Geral'!D40=C40</f>
        <v>1</v>
      </c>
      <c r="O40" s="169" t="b">
        <f>'[3]Quadro Geral'!E40=D40</f>
        <v>1</v>
      </c>
      <c r="P40" s="169" t="b">
        <f>'[3]Quadro Geral'!F40=E40</f>
        <v>1</v>
      </c>
      <c r="Q40" s="169" t="b">
        <f>'[3]Quadro Geral'!G40=F40</f>
        <v>1</v>
      </c>
      <c r="R40" s="169" t="b">
        <f>'[3]Quadro Geral'!H40=G40</f>
        <v>1</v>
      </c>
      <c r="S40" s="169" t="b">
        <f>'[3]Quadro Geral'!L40=H40</f>
        <v>1</v>
      </c>
      <c r="T40" s="220"/>
      <c r="U40" s="220"/>
    </row>
    <row r="41" spans="1:21" s="169" customFormat="1" ht="90.75" customHeight="1" x14ac:dyDescent="0.25">
      <c r="A41" s="12" t="s">
        <v>482</v>
      </c>
      <c r="B41" s="218" t="s">
        <v>223</v>
      </c>
      <c r="C41" s="9" t="s">
        <v>483</v>
      </c>
      <c r="D41" s="9" t="s">
        <v>484</v>
      </c>
      <c r="E41" s="9" t="s">
        <v>101</v>
      </c>
      <c r="F41" s="9" t="s">
        <v>87</v>
      </c>
      <c r="G41" s="9" t="s">
        <v>485</v>
      </c>
      <c r="H41" s="10">
        <v>151851.1</v>
      </c>
      <c r="I41" s="10">
        <f>'Anexo 3. Elemento de Despesas'!Q40</f>
        <v>177266.41</v>
      </c>
      <c r="J41" s="107">
        <f t="shared" si="1"/>
        <v>25415.309999999998</v>
      </c>
      <c r="K41" s="108">
        <f t="shared" si="2"/>
        <v>16.736994331947542</v>
      </c>
      <c r="L41" s="169" t="b">
        <f>'[3]Quadro Geral'!A41=A41</f>
        <v>1</v>
      </c>
      <c r="M41" s="169" t="b">
        <f>'[3]Quadro Geral'!B41=B41</f>
        <v>1</v>
      </c>
      <c r="N41" s="169" t="b">
        <f>'[3]Quadro Geral'!D41=C41</f>
        <v>1</v>
      </c>
      <c r="O41" s="169" t="b">
        <f>'[3]Quadro Geral'!E41=D41</f>
        <v>1</v>
      </c>
      <c r="P41" s="169" t="b">
        <f>'[3]Quadro Geral'!F41=E41</f>
        <v>1</v>
      </c>
      <c r="Q41" s="169" t="b">
        <f>'[3]Quadro Geral'!G41=F41</f>
        <v>1</v>
      </c>
      <c r="R41" s="169" t="b">
        <f>'[3]Quadro Geral'!H41=G41</f>
        <v>1</v>
      </c>
      <c r="S41" s="169" t="b">
        <f>'[3]Quadro Geral'!L41=H41</f>
        <v>1</v>
      </c>
    </row>
    <row r="42" spans="1:21" s="169" customFormat="1" ht="90.75" customHeight="1" x14ac:dyDescent="0.25">
      <c r="A42" s="12" t="s">
        <v>486</v>
      </c>
      <c r="B42" s="218" t="s">
        <v>223</v>
      </c>
      <c r="C42" s="9" t="s">
        <v>487</v>
      </c>
      <c r="D42" s="9" t="s">
        <v>488</v>
      </c>
      <c r="E42" s="9" t="s">
        <v>101</v>
      </c>
      <c r="F42" s="9" t="s">
        <v>87</v>
      </c>
      <c r="G42" s="9" t="s">
        <v>485</v>
      </c>
      <c r="H42" s="10">
        <v>173736.41</v>
      </c>
      <c r="I42" s="10">
        <f>'Anexo 3. Elemento de Despesas'!Q41</f>
        <v>194205.18</v>
      </c>
      <c r="J42" s="107">
        <f t="shared" si="1"/>
        <v>20468.76999999999</v>
      </c>
      <c r="K42" s="108">
        <f t="shared" si="2"/>
        <v>11.781508550798298</v>
      </c>
      <c r="L42" s="169" t="b">
        <f>'[3]Quadro Geral'!A42=A42</f>
        <v>1</v>
      </c>
      <c r="M42" s="169" t="b">
        <f>'[3]Quadro Geral'!B42=B42</f>
        <v>1</v>
      </c>
      <c r="N42" s="169" t="b">
        <f>'[3]Quadro Geral'!D42=C42</f>
        <v>1</v>
      </c>
      <c r="O42" s="169" t="b">
        <f>'[3]Quadro Geral'!E42=D42</f>
        <v>1</v>
      </c>
      <c r="P42" s="169" t="b">
        <f>'[3]Quadro Geral'!F42=E42</f>
        <v>1</v>
      </c>
      <c r="Q42" s="169" t="b">
        <f>'[3]Quadro Geral'!G42=F42</f>
        <v>1</v>
      </c>
      <c r="R42" s="169" t="b">
        <f>'[3]Quadro Geral'!H42=G42</f>
        <v>1</v>
      </c>
      <c r="S42" s="169" t="b">
        <f>'[3]Quadro Geral'!L42=H42</f>
        <v>1</v>
      </c>
      <c r="T42" s="220"/>
      <c r="U42" s="220"/>
    </row>
    <row r="43" spans="1:21" s="169" customFormat="1" ht="90.75" customHeight="1" x14ac:dyDescent="0.25">
      <c r="A43" s="12" t="s">
        <v>489</v>
      </c>
      <c r="B43" s="218" t="s">
        <v>223</v>
      </c>
      <c r="C43" s="9" t="s">
        <v>490</v>
      </c>
      <c r="D43" s="9" t="s">
        <v>491</v>
      </c>
      <c r="E43" s="9" t="s">
        <v>101</v>
      </c>
      <c r="F43" s="9" t="s">
        <v>87</v>
      </c>
      <c r="G43" s="9" t="s">
        <v>485</v>
      </c>
      <c r="H43" s="10">
        <v>114181.18</v>
      </c>
      <c r="I43" s="10">
        <f>'Anexo 3. Elemento de Despesas'!Q42</f>
        <v>141944.82</v>
      </c>
      <c r="J43" s="107">
        <f t="shared" si="1"/>
        <v>27763.640000000014</v>
      </c>
      <c r="K43" s="108">
        <f t="shared" si="2"/>
        <v>24.315425712013152</v>
      </c>
      <c r="L43" s="169" t="b">
        <f>'[3]Quadro Geral'!A43=A43</f>
        <v>1</v>
      </c>
      <c r="M43" s="169" t="b">
        <f>'[3]Quadro Geral'!B43=B43</f>
        <v>1</v>
      </c>
      <c r="N43" s="169" t="b">
        <f>'[3]Quadro Geral'!D43=C43</f>
        <v>1</v>
      </c>
      <c r="O43" s="169" t="b">
        <f>'[3]Quadro Geral'!E43=D43</f>
        <v>1</v>
      </c>
      <c r="P43" s="169" t="b">
        <f>'[3]Quadro Geral'!F43=E43</f>
        <v>1</v>
      </c>
      <c r="Q43" s="169" t="b">
        <f>'[3]Quadro Geral'!G43=F43</f>
        <v>1</v>
      </c>
      <c r="R43" s="169" t="b">
        <f>'[3]Quadro Geral'!H43=G43</f>
        <v>1</v>
      </c>
      <c r="S43" s="169" t="b">
        <f>'[3]Quadro Geral'!L43=H43</f>
        <v>1</v>
      </c>
    </row>
    <row r="44" spans="1:21" s="169" customFormat="1" ht="90.75" customHeight="1" x14ac:dyDescent="0.25">
      <c r="A44" s="12" t="s">
        <v>492</v>
      </c>
      <c r="B44" s="218" t="s">
        <v>223</v>
      </c>
      <c r="C44" s="9" t="s">
        <v>493</v>
      </c>
      <c r="D44" s="9" t="s">
        <v>494</v>
      </c>
      <c r="E44" s="9" t="s">
        <v>101</v>
      </c>
      <c r="F44" s="9" t="s">
        <v>87</v>
      </c>
      <c r="G44" s="9" t="s">
        <v>485</v>
      </c>
      <c r="H44" s="10">
        <v>120307.14</v>
      </c>
      <c r="I44" s="10">
        <f>'Anexo 3. Elemento de Despesas'!Q43</f>
        <v>159814.54999999999</v>
      </c>
      <c r="J44" s="107">
        <f t="shared" si="1"/>
        <v>39507.409999999989</v>
      </c>
      <c r="K44" s="108">
        <f t="shared" si="2"/>
        <v>32.838790781660997</v>
      </c>
      <c r="L44" s="169" t="b">
        <f>'[3]Quadro Geral'!A44=A44</f>
        <v>1</v>
      </c>
      <c r="M44" s="169" t="b">
        <f>'[3]Quadro Geral'!B44=B44</f>
        <v>1</v>
      </c>
      <c r="N44" s="169" t="b">
        <f>'[3]Quadro Geral'!D44=C44</f>
        <v>1</v>
      </c>
      <c r="O44" s="169" t="b">
        <f>'[3]Quadro Geral'!E44=D44</f>
        <v>1</v>
      </c>
      <c r="P44" s="169" t="b">
        <f>'[3]Quadro Geral'!F44=E44</f>
        <v>1</v>
      </c>
      <c r="Q44" s="169" t="b">
        <f>'[3]Quadro Geral'!G44=F44</f>
        <v>1</v>
      </c>
      <c r="R44" s="169" t="b">
        <f>'[3]Quadro Geral'!H44=G44</f>
        <v>1</v>
      </c>
      <c r="S44" s="169" t="b">
        <f>'[3]Quadro Geral'!L44=H44</f>
        <v>1</v>
      </c>
    </row>
    <row r="45" spans="1:21" s="169" customFormat="1" ht="90.75" customHeight="1" x14ac:dyDescent="0.25">
      <c r="A45" s="12" t="s">
        <v>495</v>
      </c>
      <c r="B45" s="218" t="s">
        <v>223</v>
      </c>
      <c r="C45" s="9" t="s">
        <v>496</v>
      </c>
      <c r="D45" s="9" t="s">
        <v>497</v>
      </c>
      <c r="E45" s="9" t="s">
        <v>101</v>
      </c>
      <c r="F45" s="9" t="s">
        <v>87</v>
      </c>
      <c r="G45" s="9" t="s">
        <v>485</v>
      </c>
      <c r="H45" s="10">
        <v>134840.13999999998</v>
      </c>
      <c r="I45" s="10">
        <f>'Anexo 3. Elemento de Despesas'!Q44</f>
        <v>187193.75</v>
      </c>
      <c r="J45" s="107">
        <f t="shared" si="1"/>
        <v>52353.610000000015</v>
      </c>
      <c r="K45" s="108">
        <f t="shared" si="2"/>
        <v>38.826428094779509</v>
      </c>
      <c r="L45" s="169" t="b">
        <f>'[3]Quadro Geral'!A45=A45</f>
        <v>1</v>
      </c>
      <c r="M45" s="169" t="b">
        <f>'[3]Quadro Geral'!B45=B45</f>
        <v>1</v>
      </c>
      <c r="N45" s="169" t="b">
        <f>'[3]Quadro Geral'!D45=C45</f>
        <v>1</v>
      </c>
      <c r="O45" s="169" t="b">
        <f>'[3]Quadro Geral'!E45=D45</f>
        <v>1</v>
      </c>
      <c r="P45" s="169" t="b">
        <f>'[3]Quadro Geral'!F45=E45</f>
        <v>1</v>
      </c>
      <c r="Q45" s="169" t="b">
        <f>'[3]Quadro Geral'!G45=F45</f>
        <v>1</v>
      </c>
      <c r="R45" s="169" t="b">
        <f>'[3]Quadro Geral'!H45=G45</f>
        <v>1</v>
      </c>
      <c r="S45" s="169" t="b">
        <f>'[3]Quadro Geral'!L45=H45</f>
        <v>1</v>
      </c>
    </row>
    <row r="46" spans="1:21" s="169" customFormat="1" ht="90.75" customHeight="1" x14ac:dyDescent="0.25">
      <c r="A46" s="12" t="s">
        <v>498</v>
      </c>
      <c r="B46" s="218" t="s">
        <v>223</v>
      </c>
      <c r="C46" s="9" t="s">
        <v>499</v>
      </c>
      <c r="D46" s="9" t="s">
        <v>500</v>
      </c>
      <c r="E46" s="9" t="s">
        <v>133</v>
      </c>
      <c r="F46" s="9" t="s">
        <v>90</v>
      </c>
      <c r="G46" s="9" t="s">
        <v>501</v>
      </c>
      <c r="H46" s="10">
        <v>125344.75</v>
      </c>
      <c r="I46" s="10">
        <f>'Anexo 3. Elemento de Despesas'!Q45</f>
        <v>45000</v>
      </c>
      <c r="J46" s="107">
        <f t="shared" si="1"/>
        <v>-80344.75</v>
      </c>
      <c r="K46" s="108">
        <f t="shared" si="2"/>
        <v>-64.099014916859304</v>
      </c>
      <c r="L46" s="169" t="b">
        <f>'[3]Quadro Geral'!A46=A46</f>
        <v>1</v>
      </c>
      <c r="M46" s="169" t="b">
        <f>'[3]Quadro Geral'!B46=B46</f>
        <v>1</v>
      </c>
      <c r="N46" s="169" t="b">
        <f>'[3]Quadro Geral'!D46=C46</f>
        <v>1</v>
      </c>
      <c r="O46" s="169" t="b">
        <f>'[3]Quadro Geral'!E46=D46</f>
        <v>1</v>
      </c>
      <c r="P46" s="169" t="b">
        <f>'[3]Quadro Geral'!F46=E46</f>
        <v>1</v>
      </c>
      <c r="Q46" s="169" t="b">
        <f>'[3]Quadro Geral'!G46=F46</f>
        <v>1</v>
      </c>
      <c r="R46" s="169" t="b">
        <f>'[3]Quadro Geral'!H46=G46</f>
        <v>1</v>
      </c>
      <c r="S46" s="169" t="b">
        <f>'[3]Quadro Geral'!L46=H46</f>
        <v>1</v>
      </c>
    </row>
    <row r="47" spans="1:21" s="169" customFormat="1" ht="90.75" customHeight="1" x14ac:dyDescent="0.25">
      <c r="A47" s="12" t="s">
        <v>498</v>
      </c>
      <c r="B47" s="218" t="s">
        <v>224</v>
      </c>
      <c r="C47" s="9" t="s">
        <v>502</v>
      </c>
      <c r="D47" s="9" t="s">
        <v>503</v>
      </c>
      <c r="E47" s="9" t="s">
        <v>22</v>
      </c>
      <c r="F47" s="9" t="s">
        <v>89</v>
      </c>
      <c r="G47" s="9" t="s">
        <v>504</v>
      </c>
      <c r="H47" s="10">
        <v>0</v>
      </c>
      <c r="I47" s="10">
        <f>'Anexo 3. Elemento de Despesas'!Q46</f>
        <v>100000</v>
      </c>
      <c r="J47" s="107">
        <f t="shared" si="1"/>
        <v>100000</v>
      </c>
      <c r="K47" s="108">
        <f t="shared" si="2"/>
        <v>0</v>
      </c>
      <c r="L47" s="169" t="b">
        <f>'[3]Quadro Geral'!A47=A47</f>
        <v>1</v>
      </c>
      <c r="M47" s="169" t="b">
        <f>'[3]Quadro Geral'!B47=B47</f>
        <v>0</v>
      </c>
      <c r="N47" s="169" t="b">
        <f>'[3]Quadro Geral'!D47=C47</f>
        <v>1</v>
      </c>
      <c r="O47" s="169" t="b">
        <f>'[3]Quadro Geral'!E47=D47</f>
        <v>1</v>
      </c>
      <c r="P47" s="169" t="b">
        <f>'[3]Quadro Geral'!F47=E47</f>
        <v>1</v>
      </c>
      <c r="Q47" s="169" t="b">
        <f>'[3]Quadro Geral'!G47=F47</f>
        <v>1</v>
      </c>
      <c r="R47" s="169" t="b">
        <f>'[3]Quadro Geral'!H47=G47</f>
        <v>1</v>
      </c>
      <c r="S47" s="169" t="b">
        <f>'[3]Quadro Geral'!L47=H47</f>
        <v>1</v>
      </c>
    </row>
    <row r="48" spans="1:21" s="169" customFormat="1" ht="90.75" customHeight="1" x14ac:dyDescent="0.25">
      <c r="A48" s="12" t="s">
        <v>571</v>
      </c>
      <c r="B48" s="218" t="s">
        <v>222</v>
      </c>
      <c r="C48" s="9" t="s">
        <v>572</v>
      </c>
      <c r="D48" s="9" t="s">
        <v>573</v>
      </c>
      <c r="E48" s="9" t="s">
        <v>31</v>
      </c>
      <c r="F48" s="9" t="s">
        <v>89</v>
      </c>
      <c r="G48" s="9" t="s">
        <v>574</v>
      </c>
      <c r="H48" s="10">
        <v>0</v>
      </c>
      <c r="I48" s="10">
        <f>'Anexo 3. Elemento de Despesas'!Q47</f>
        <v>35000</v>
      </c>
      <c r="J48" s="107">
        <f t="shared" si="1"/>
        <v>35000</v>
      </c>
      <c r="K48" s="108">
        <f t="shared" si="2"/>
        <v>0</v>
      </c>
    </row>
    <row r="49" spans="1:19" s="169" customFormat="1" ht="90.75" customHeight="1" x14ac:dyDescent="0.25">
      <c r="A49" s="12" t="s">
        <v>571</v>
      </c>
      <c r="B49" s="218" t="s">
        <v>222</v>
      </c>
      <c r="C49" s="9" t="s">
        <v>575</v>
      </c>
      <c r="D49" s="9" t="s">
        <v>576</v>
      </c>
      <c r="E49" s="9" t="s">
        <v>31</v>
      </c>
      <c r="F49" s="9" t="s">
        <v>89</v>
      </c>
      <c r="G49" s="9" t="s">
        <v>577</v>
      </c>
      <c r="H49" s="10">
        <v>0</v>
      </c>
      <c r="I49" s="262">
        <f>'Anexo 3. Elemento de Despesas'!Q48</f>
        <v>40000</v>
      </c>
      <c r="J49" s="107">
        <f t="shared" si="1"/>
        <v>40000</v>
      </c>
      <c r="K49" s="108">
        <f t="shared" si="2"/>
        <v>0</v>
      </c>
    </row>
    <row r="50" spans="1:19" s="169" customFormat="1" ht="16.5" thickBot="1" x14ac:dyDescent="0.3">
      <c r="A50" s="346" t="s">
        <v>6</v>
      </c>
      <c r="B50" s="347"/>
      <c r="C50" s="347"/>
      <c r="D50" s="347"/>
      <c r="E50" s="347"/>
      <c r="F50" s="347"/>
      <c r="G50" s="348"/>
      <c r="H50" s="175">
        <f>SUM(H8:H49)</f>
        <v>13152358.890000002</v>
      </c>
      <c r="I50" s="175">
        <f>SUM(I8:I49)</f>
        <v>17690000</v>
      </c>
      <c r="J50" s="175">
        <f>SUM(J8:J49)</f>
        <v>4537641.1099999994</v>
      </c>
      <c r="K50" s="175">
        <f t="shared" si="2"/>
        <v>34.500587673668612</v>
      </c>
      <c r="S50" s="253">
        <f>H50-'[3]Quadro Geral'!$L$48</f>
        <v>0</v>
      </c>
    </row>
    <row r="51" spans="1:19" s="169" customFormat="1" x14ac:dyDescent="0.25">
      <c r="A51" s="345" t="s">
        <v>352</v>
      </c>
      <c r="B51" s="345"/>
      <c r="C51" s="345"/>
      <c r="D51" s="345"/>
      <c r="E51" s="345"/>
      <c r="F51" s="345"/>
      <c r="G51" s="345"/>
      <c r="H51" s="166"/>
      <c r="I51" s="264"/>
      <c r="J51" s="166"/>
      <c r="K51" s="166"/>
    </row>
    <row r="52" spans="1:19" s="169" customFormat="1" x14ac:dyDescent="0.25">
      <c r="A52" s="342" t="s">
        <v>168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</row>
    <row r="53" spans="1:19" s="169" customFormat="1" x14ac:dyDescent="0.25">
      <c r="A53" s="340"/>
      <c r="B53" s="341"/>
      <c r="C53" s="341"/>
      <c r="D53" s="341"/>
      <c r="E53" s="341"/>
      <c r="F53" s="341"/>
      <c r="G53" s="341"/>
      <c r="H53" s="341"/>
      <c r="I53" s="341"/>
      <c r="J53" s="341"/>
      <c r="K53" s="341"/>
    </row>
    <row r="54" spans="1:19" s="169" customFormat="1" x14ac:dyDescent="0.25">
      <c r="A54" s="260"/>
      <c r="B54" s="260"/>
      <c r="C54" s="260"/>
      <c r="D54" s="260"/>
      <c r="E54" s="260"/>
      <c r="F54" s="260"/>
      <c r="G54" s="260"/>
      <c r="H54" s="260"/>
      <c r="I54" s="265"/>
      <c r="J54" s="260"/>
      <c r="K54" s="260"/>
    </row>
  </sheetData>
  <sheetProtection formatCells="0" formatRows="0" insertRows="0" deleteRows="0"/>
  <autoFilter ref="A7:T52" xr:uid="{00000000-0009-0000-0000-000003000000}"/>
  <mergeCells count="18">
    <mergeCell ref="A53:K53"/>
    <mergeCell ref="A52:K52"/>
    <mergeCell ref="H6:H7"/>
    <mergeCell ref="I6:I7"/>
    <mergeCell ref="F6:F7"/>
    <mergeCell ref="A51:G51"/>
    <mergeCell ref="A50:G50"/>
    <mergeCell ref="A1:K1"/>
    <mergeCell ref="G6:G7"/>
    <mergeCell ref="A3:K3"/>
    <mergeCell ref="J6:K6"/>
    <mergeCell ref="A6:A7"/>
    <mergeCell ref="B6:B7"/>
    <mergeCell ref="C6:C7"/>
    <mergeCell ref="E6:E7"/>
    <mergeCell ref="D6:D7"/>
    <mergeCell ref="A2:K2"/>
    <mergeCell ref="A5:K5"/>
  </mergeCells>
  <phoneticPr fontId="21" type="noConversion"/>
  <conditionalFormatting sqref="H51:K51">
    <cfRule type="cellIs" dxfId="17" priority="3" operator="equal">
      <formula>TRUE</formula>
    </cfRule>
  </conditionalFormatting>
  <conditionalFormatting sqref="L9:S47 L8:N8 P8:S8">
    <cfRule type="cellIs" dxfId="16" priority="1" operator="equal">
      <formula>TRUE</formula>
    </cfRule>
    <cfRule type="cellIs" dxfId="15" priority="2" operator="equal">
      <formula>FALSE</formula>
    </cfRule>
  </conditionalFormatting>
  <pageMargins left="0.23622047244094491" right="0.23622047244094491" top="0.27559055118110237" bottom="0.15748031496062992" header="0.31496062992125984" footer="0.31496062992125984"/>
  <pageSetup paperSize="9" scale="3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'\\192.168.10.10\financeiro\Livian Hott\Orçamento 2023\[Modelo para Elaboração da Programação do Plano de Ação e Orçamento CAUUF - 2023.xlsx]Validação de dados'!#REF!</xm:f>
          </x14:formula1>
          <xm:sqref>B8:B17 B48:B49</xm:sqref>
        </x14:dataValidation>
        <x14:dataValidation type="list" allowBlank="1" showInputMessage="1" showErrorMessage="1" xr:uid="{00000000-0002-0000-0300-000001000000}">
          <x14:formula1>
            <xm:f>'\\192.168.10.10\financeiro\Livian Hott\Orçamento 2023\[Modelo para Elaboração da Programação do Plano de Ação e Orçamento CAUUF - 2023.xlsx]Validação de dados'!#REF!</xm:f>
          </x14:formula1>
          <xm:sqref>E8:F49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>
    <tabColor rgb="FFFF0000"/>
    <pageSetUpPr fitToPage="1"/>
  </sheetPr>
  <dimension ref="A1:R61"/>
  <sheetViews>
    <sheetView showGridLines="0" tabSelected="1" view="pageBreakPreview" zoomScale="80" zoomScaleNormal="80" zoomScaleSheetLayoutView="80" workbookViewId="0">
      <selection activeCell="D30" sqref="D30"/>
    </sheetView>
  </sheetViews>
  <sheetFormatPr defaultColWidth="9.140625" defaultRowHeight="15.75" customHeight="1" zeroHeight="1" x14ac:dyDescent="0.25"/>
  <cols>
    <col min="1" max="1" width="49.7109375" style="115" customWidth="1"/>
    <col min="2" max="6" width="21.42578125" style="115" customWidth="1"/>
    <col min="7" max="7" width="22.140625" style="115" customWidth="1"/>
    <col min="8" max="8" width="19.28515625" style="255" customWidth="1"/>
    <col min="9" max="9" width="19.28515625" style="125" customWidth="1"/>
    <col min="10" max="13" width="19.28515625" style="255" customWidth="1"/>
    <col min="14" max="15" width="9.140625" style="255" customWidth="1"/>
    <col min="16" max="18" width="9.140625" style="255"/>
    <col min="19" max="16384" width="9.140625" style="123"/>
  </cols>
  <sheetData>
    <row r="1" spans="1:18" ht="118.5" customHeight="1" x14ac:dyDescent="0.25">
      <c r="A1" s="378" t="s">
        <v>353</v>
      </c>
      <c r="B1" s="378"/>
      <c r="C1" s="378"/>
      <c r="D1" s="378"/>
      <c r="E1" s="378"/>
      <c r="F1" s="378"/>
      <c r="G1" s="379"/>
    </row>
    <row r="2" spans="1:18" x14ac:dyDescent="0.25">
      <c r="A2" s="366" t="str">
        <f>'[4]Indicadores e Metas'!A2:F2</f>
        <v xml:space="preserve">CAU/UF:  </v>
      </c>
      <c r="B2" s="367"/>
      <c r="C2" s="367"/>
      <c r="D2" s="367"/>
      <c r="E2" s="367"/>
      <c r="F2" s="367"/>
      <c r="G2" s="368"/>
    </row>
    <row r="3" spans="1:18" s="124" customFormat="1" x14ac:dyDescent="0.25">
      <c r="A3" s="366" t="s">
        <v>337</v>
      </c>
      <c r="B3" s="367"/>
      <c r="C3" s="367"/>
      <c r="D3" s="367"/>
      <c r="E3" s="367"/>
      <c r="F3" s="367"/>
      <c r="G3" s="368"/>
      <c r="H3" s="256"/>
      <c r="I3" s="126"/>
      <c r="J3" s="256"/>
      <c r="K3" s="256"/>
      <c r="L3" s="256"/>
      <c r="M3" s="256"/>
      <c r="N3" s="256"/>
      <c r="O3" s="256"/>
      <c r="P3" s="256"/>
      <c r="Q3" s="256"/>
      <c r="R3" s="256"/>
    </row>
    <row r="4" spans="1:18" s="124" customFormat="1" x14ac:dyDescent="0.25">
      <c r="A4" s="358"/>
      <c r="B4" s="358"/>
      <c r="C4" s="358"/>
      <c r="D4" s="358"/>
      <c r="E4" s="358"/>
      <c r="F4" s="118" t="s">
        <v>18</v>
      </c>
      <c r="G4" s="117"/>
      <c r="H4" s="256"/>
      <c r="I4" s="126"/>
      <c r="J4" s="256"/>
      <c r="K4" s="256"/>
      <c r="L4" s="256"/>
      <c r="M4" s="256"/>
      <c r="N4" s="256"/>
      <c r="O4" s="256"/>
      <c r="P4" s="256"/>
      <c r="Q4" s="256"/>
      <c r="R4" s="256"/>
    </row>
    <row r="5" spans="1:18" x14ac:dyDescent="0.25">
      <c r="A5" s="371" t="s">
        <v>7</v>
      </c>
      <c r="B5" s="372"/>
      <c r="C5" s="369" t="s">
        <v>355</v>
      </c>
      <c r="D5" s="369" t="s">
        <v>354</v>
      </c>
      <c r="E5" s="336" t="s">
        <v>342</v>
      </c>
      <c r="F5" s="336"/>
      <c r="G5" s="381" t="s">
        <v>321</v>
      </c>
    </row>
    <row r="6" spans="1:18" ht="31.5" x14ac:dyDescent="0.25">
      <c r="A6" s="373"/>
      <c r="B6" s="374"/>
      <c r="C6" s="370"/>
      <c r="D6" s="370"/>
      <c r="E6" s="217" t="s">
        <v>142</v>
      </c>
      <c r="F6" s="216" t="s">
        <v>143</v>
      </c>
      <c r="G6" s="381"/>
    </row>
    <row r="7" spans="1:18" x14ac:dyDescent="0.25">
      <c r="A7" s="339" t="s">
        <v>322</v>
      </c>
      <c r="B7" s="339"/>
      <c r="C7" s="176"/>
      <c r="D7" s="176"/>
      <c r="E7" s="176"/>
      <c r="F7" s="177"/>
      <c r="G7" s="177"/>
    </row>
    <row r="8" spans="1:18" x14ac:dyDescent="0.25">
      <c r="A8" s="375" t="s">
        <v>8</v>
      </c>
      <c r="B8" s="375"/>
      <c r="C8" s="109">
        <f>C9+C19+C20+C21</f>
        <v>13152358.890000001</v>
      </c>
      <c r="D8" s="109">
        <f>D9+D19+D20+D21</f>
        <v>15244999.999999998</v>
      </c>
      <c r="E8" s="109">
        <f>D8-C8</f>
        <v>2092641.1099999975</v>
      </c>
      <c r="F8" s="110">
        <f>IFERROR(E8/C8*100,)</f>
        <v>15.910766483045668</v>
      </c>
      <c r="G8" s="110">
        <f>IFERROR(D8/$D$25*100,0)</f>
        <v>86.178631995477659</v>
      </c>
      <c r="H8" s="257">
        <f>'[3]Anexo 1. Fontes e Aplicações'!F8</f>
        <v>13152358.890000001</v>
      </c>
    </row>
    <row r="9" spans="1:18" x14ac:dyDescent="0.25">
      <c r="A9" s="365" t="s">
        <v>78</v>
      </c>
      <c r="B9" s="365"/>
      <c r="C9" s="109">
        <f>C10+C17+C18</f>
        <v>11883036.600000001</v>
      </c>
      <c r="D9" s="109">
        <f t="shared" ref="D9" si="0">D10+D17+D18</f>
        <v>13100510.399999999</v>
      </c>
      <c r="E9" s="109">
        <f t="shared" ref="E9:E25" si="1">D9-C9</f>
        <v>1217473.799999997</v>
      </c>
      <c r="F9" s="110">
        <f t="shared" ref="F9:F25" si="2">IFERROR(E9/C9*100,)</f>
        <v>10.245477153541687</v>
      </c>
      <c r="G9" s="110">
        <f t="shared" ref="G9:G25" si="3">IFERROR(D9/$D$25*100,0)</f>
        <v>74.056022611644991</v>
      </c>
      <c r="H9" s="257">
        <f>'[3]Anexo 1. Fontes e Aplicações'!F9</f>
        <v>11883036.6</v>
      </c>
      <c r="I9" s="258">
        <f>'Diretrizes - Resumo'!AI4</f>
        <v>13100510.399999999</v>
      </c>
      <c r="J9" s="125"/>
    </row>
    <row r="10" spans="1:18" x14ac:dyDescent="0.25">
      <c r="A10" s="365" t="s">
        <v>9</v>
      </c>
      <c r="B10" s="365"/>
      <c r="C10" s="109">
        <f>C11+C14</f>
        <v>5994085.9000000004</v>
      </c>
      <c r="D10" s="109">
        <f t="shared" ref="D10" si="4">D11+D14</f>
        <v>6723629.2300000004</v>
      </c>
      <c r="E10" s="109">
        <f t="shared" si="1"/>
        <v>729543.33000000007</v>
      </c>
      <c r="F10" s="110">
        <f t="shared" si="2"/>
        <v>12.171052303404595</v>
      </c>
      <c r="G10" s="110">
        <f t="shared" si="3"/>
        <v>38.008079310344826</v>
      </c>
      <c r="H10" s="257">
        <f>'[3]Anexo 1. Fontes e Aplicações'!F10</f>
        <v>5994085.9000000004</v>
      </c>
      <c r="I10" s="258">
        <f>'Diretrizes - Resumo'!AI5</f>
        <v>6723629.2300000004</v>
      </c>
      <c r="J10" s="125"/>
    </row>
    <row r="11" spans="1:18" x14ac:dyDescent="0.25">
      <c r="A11" s="365" t="s">
        <v>10</v>
      </c>
      <c r="B11" s="365"/>
      <c r="C11" s="107">
        <f>SUM(C12:C13)</f>
        <v>5517555.1200000001</v>
      </c>
      <c r="D11" s="107">
        <f t="shared" ref="D11" si="5">SUM(D12:D13)</f>
        <v>6186551.7400000002</v>
      </c>
      <c r="E11" s="109">
        <f t="shared" si="1"/>
        <v>668996.62000000011</v>
      </c>
      <c r="F11" s="110">
        <f t="shared" si="2"/>
        <v>12.124874250463312</v>
      </c>
      <c r="G11" s="110">
        <f t="shared" si="3"/>
        <v>34.972027925381575</v>
      </c>
      <c r="H11" s="257">
        <f>'[3]Anexo 1. Fontes e Aplicações'!F11</f>
        <v>5517555.1200000001</v>
      </c>
      <c r="I11" s="258">
        <f>'Diretrizes - Resumo'!AI6</f>
        <v>6186551.7400000002</v>
      </c>
      <c r="J11" s="125"/>
    </row>
    <row r="12" spans="1:18" x14ac:dyDescent="0.25">
      <c r="A12" s="364" t="s">
        <v>338</v>
      </c>
      <c r="B12" s="364"/>
      <c r="C12" s="10">
        <v>4794475.05</v>
      </c>
      <c r="D12" s="10">
        <v>5463471.6699999999</v>
      </c>
      <c r="E12" s="109">
        <f t="shared" si="1"/>
        <v>668996.62000000011</v>
      </c>
      <c r="F12" s="110">
        <f t="shared" si="2"/>
        <v>13.95349048693037</v>
      </c>
      <c r="G12" s="110">
        <f t="shared" si="3"/>
        <v>30.884520463538724</v>
      </c>
      <c r="H12" s="257">
        <f>'[3]Anexo 1. Fontes e Aplicações'!F12</f>
        <v>4794475.05</v>
      </c>
      <c r="I12" s="258">
        <f>'Diretrizes - Resumo'!AI7</f>
        <v>5463471.6699999999</v>
      </c>
      <c r="J12" s="125"/>
    </row>
    <row r="13" spans="1:18" x14ac:dyDescent="0.25">
      <c r="A13" s="364" t="s">
        <v>76</v>
      </c>
      <c r="B13" s="364"/>
      <c r="C13" s="10">
        <v>723080.07</v>
      </c>
      <c r="D13" s="10">
        <v>723080.07</v>
      </c>
      <c r="E13" s="109">
        <f t="shared" si="1"/>
        <v>0</v>
      </c>
      <c r="F13" s="110">
        <f t="shared" si="2"/>
        <v>0</v>
      </c>
      <c r="G13" s="110">
        <f t="shared" si="3"/>
        <v>4.0875074618428489</v>
      </c>
      <c r="H13" s="257">
        <f>'[3]Anexo 1. Fontes e Aplicações'!F13</f>
        <v>723080.07</v>
      </c>
      <c r="I13" s="258">
        <f>'Diretrizes - Resumo'!AI8</f>
        <v>723080.07</v>
      </c>
      <c r="J13" s="125"/>
    </row>
    <row r="14" spans="1:18" x14ac:dyDescent="0.25">
      <c r="A14" s="365" t="s">
        <v>11</v>
      </c>
      <c r="B14" s="365"/>
      <c r="C14" s="109">
        <f>SUM(C15:C16)</f>
        <v>476530.78</v>
      </c>
      <c r="D14" s="109">
        <f t="shared" ref="D14" si="6">SUM(D15:D16)</f>
        <v>537077.49</v>
      </c>
      <c r="E14" s="109">
        <f t="shared" si="1"/>
        <v>60546.709999999963</v>
      </c>
      <c r="F14" s="110">
        <f t="shared" si="2"/>
        <v>12.705729103165165</v>
      </c>
      <c r="G14" s="110">
        <f t="shared" si="3"/>
        <v>3.036051384963256</v>
      </c>
      <c r="H14" s="257">
        <f>'[3]Anexo 1. Fontes e Aplicações'!F14</f>
        <v>476530.78</v>
      </c>
      <c r="I14" s="258">
        <f>'Diretrizes - Resumo'!AI9</f>
        <v>537077.49</v>
      </c>
      <c r="J14" s="125"/>
    </row>
    <row r="15" spans="1:18" x14ac:dyDescent="0.25">
      <c r="A15" s="364" t="s">
        <v>339</v>
      </c>
      <c r="B15" s="364"/>
      <c r="C15" s="13">
        <v>366538.9</v>
      </c>
      <c r="D15" s="13">
        <v>427085.62</v>
      </c>
      <c r="E15" s="109">
        <f t="shared" si="1"/>
        <v>60546.719999999972</v>
      </c>
      <c r="F15" s="110">
        <f t="shared" si="2"/>
        <v>16.518497763811691</v>
      </c>
      <c r="G15" s="110">
        <f t="shared" si="3"/>
        <v>2.4142771057094401</v>
      </c>
      <c r="H15" s="257">
        <f>'[3]Anexo 1. Fontes e Aplicações'!F15</f>
        <v>366538.9</v>
      </c>
      <c r="I15" s="258">
        <f>'Diretrizes - Resumo'!AI10</f>
        <v>427085.62</v>
      </c>
      <c r="J15" s="125"/>
    </row>
    <row r="16" spans="1:18" x14ac:dyDescent="0.25">
      <c r="A16" s="364" t="s">
        <v>77</v>
      </c>
      <c r="B16" s="364"/>
      <c r="C16" s="13">
        <v>109991.88</v>
      </c>
      <c r="D16" s="13">
        <v>109991.87</v>
      </c>
      <c r="E16" s="109">
        <f t="shared" si="1"/>
        <v>-1.0000000009313226E-2</v>
      </c>
      <c r="F16" s="110">
        <f t="shared" si="2"/>
        <v>-9.0915802232975985E-6</v>
      </c>
      <c r="G16" s="110">
        <f t="shared" si="3"/>
        <v>0.62177427925381568</v>
      </c>
      <c r="H16" s="257">
        <f>'[3]Anexo 1. Fontes e Aplicações'!F16</f>
        <v>109991.88</v>
      </c>
      <c r="I16" s="258">
        <f>'Diretrizes - Resumo'!AI11</f>
        <v>109991.87</v>
      </c>
      <c r="J16" s="125"/>
    </row>
    <row r="17" spans="1:10" x14ac:dyDescent="0.25">
      <c r="A17" s="363" t="s">
        <v>67</v>
      </c>
      <c r="B17" s="363"/>
      <c r="C17" s="14">
        <v>5364068.88</v>
      </c>
      <c r="D17" s="14">
        <v>5744310.6299999999</v>
      </c>
      <c r="E17" s="109">
        <f t="shared" si="1"/>
        <v>380241.75</v>
      </c>
      <c r="F17" s="110">
        <f t="shared" si="2"/>
        <v>7.0886813444498502</v>
      </c>
      <c r="G17" s="110">
        <f t="shared" si="3"/>
        <v>32.472078179762576</v>
      </c>
      <c r="H17" s="257">
        <f>'[3]Anexo 1. Fontes e Aplicações'!F17</f>
        <v>5364068.88</v>
      </c>
      <c r="I17" s="258">
        <f>'Diretrizes - Resumo'!AI12</f>
        <v>5744310.6299999999</v>
      </c>
      <c r="J17" s="125"/>
    </row>
    <row r="18" spans="1:10" x14ac:dyDescent="0.25">
      <c r="A18" s="363" t="s">
        <v>141</v>
      </c>
      <c r="B18" s="363"/>
      <c r="C18" s="14">
        <v>524881.81999999995</v>
      </c>
      <c r="D18" s="14">
        <v>632570.54</v>
      </c>
      <c r="E18" s="109">
        <f t="shared" si="1"/>
        <v>107688.72000000009</v>
      </c>
      <c r="F18" s="110">
        <f t="shared" si="2"/>
        <v>20.516755562233058</v>
      </c>
      <c r="G18" s="110">
        <f t="shared" si="3"/>
        <v>3.5758651215375923</v>
      </c>
      <c r="H18" s="257">
        <f>'[3]Anexo 1. Fontes e Aplicações'!F18</f>
        <v>524881.82000000007</v>
      </c>
      <c r="I18" s="258">
        <f>'Diretrizes - Resumo'!AI13</f>
        <v>632570.54</v>
      </c>
      <c r="J18" s="125"/>
    </row>
    <row r="19" spans="1:10" x14ac:dyDescent="0.25">
      <c r="A19" s="363" t="s">
        <v>12</v>
      </c>
      <c r="B19" s="363"/>
      <c r="C19" s="14">
        <v>1185138.92</v>
      </c>
      <c r="D19" s="14">
        <v>2090000</v>
      </c>
      <c r="E19" s="109">
        <f t="shared" si="1"/>
        <v>904861.08000000007</v>
      </c>
      <c r="F19" s="110">
        <f t="shared" si="2"/>
        <v>76.350634067439131</v>
      </c>
      <c r="G19" s="110">
        <f t="shared" si="3"/>
        <v>11.814584511023178</v>
      </c>
      <c r="H19" s="257">
        <f>'[3]Anexo 1. Fontes e Aplicações'!F19</f>
        <v>1185138.92</v>
      </c>
    </row>
    <row r="20" spans="1:10" x14ac:dyDescent="0.25">
      <c r="A20" s="363" t="s">
        <v>130</v>
      </c>
      <c r="B20" s="363"/>
      <c r="C20" s="15">
        <v>84183.37</v>
      </c>
      <c r="D20" s="15">
        <v>54489.599999999999</v>
      </c>
      <c r="E20" s="109">
        <f t="shared" si="1"/>
        <v>-29693.769999999997</v>
      </c>
      <c r="F20" s="110">
        <f t="shared" si="2"/>
        <v>-35.272726667986795</v>
      </c>
      <c r="G20" s="110">
        <f t="shared" si="3"/>
        <v>0.30802487280949686</v>
      </c>
      <c r="H20" s="257">
        <f>'[3]Anexo 1. Fontes e Aplicações'!F20</f>
        <v>84183.37</v>
      </c>
      <c r="I20" s="258">
        <f>'Diretrizes - Resumo'!AI15</f>
        <v>53423.58279920862</v>
      </c>
    </row>
    <row r="21" spans="1:10" x14ac:dyDescent="0.25">
      <c r="A21" s="363" t="s">
        <v>13</v>
      </c>
      <c r="B21" s="363"/>
      <c r="C21" s="15"/>
      <c r="D21" s="15"/>
      <c r="E21" s="109">
        <f t="shared" si="1"/>
        <v>0</v>
      </c>
      <c r="F21" s="110">
        <f t="shared" si="2"/>
        <v>0</v>
      </c>
      <c r="G21" s="110">
        <f t="shared" si="3"/>
        <v>0</v>
      </c>
      <c r="H21" s="257">
        <f>'[3]Anexo 1. Fontes e Aplicações'!F21</f>
        <v>0</v>
      </c>
    </row>
    <row r="22" spans="1:10" x14ac:dyDescent="0.25">
      <c r="A22" s="375" t="s">
        <v>230</v>
      </c>
      <c r="B22" s="375"/>
      <c r="C22" s="109">
        <f>SUM(C23:C24)</f>
        <v>0</v>
      </c>
      <c r="D22" s="109">
        <f>SUM(D23:D24)</f>
        <v>2445000</v>
      </c>
      <c r="E22" s="109">
        <f t="shared" si="1"/>
        <v>2445000</v>
      </c>
      <c r="F22" s="110">
        <f t="shared" si="2"/>
        <v>0</v>
      </c>
      <c r="G22" s="110">
        <f t="shared" si="3"/>
        <v>13.821368004522331</v>
      </c>
      <c r="H22" s="257">
        <f>'[3]Anexo 1. Fontes e Aplicações'!F22</f>
        <v>0</v>
      </c>
    </row>
    <row r="23" spans="1:10" x14ac:dyDescent="0.25">
      <c r="A23" s="363" t="s">
        <v>14</v>
      </c>
      <c r="B23" s="363"/>
      <c r="C23" s="15"/>
      <c r="D23" s="15">
        <v>2445000</v>
      </c>
      <c r="E23" s="109">
        <f t="shared" si="1"/>
        <v>2445000</v>
      </c>
      <c r="F23" s="110">
        <f t="shared" si="2"/>
        <v>0</v>
      </c>
      <c r="G23" s="110">
        <f t="shared" si="3"/>
        <v>13.821368004522331</v>
      </c>
      <c r="H23" s="257">
        <f>'[3]Anexo 1. Fontes e Aplicações'!F23</f>
        <v>0</v>
      </c>
      <c r="I23" s="258">
        <f>'Diretrizes - Resumo'!AL8</f>
        <v>13295439.140000001</v>
      </c>
    </row>
    <row r="24" spans="1:10" x14ac:dyDescent="0.25">
      <c r="A24" s="363" t="s">
        <v>129</v>
      </c>
      <c r="B24" s="363"/>
      <c r="C24" s="15"/>
      <c r="D24" s="15"/>
      <c r="E24" s="109">
        <f t="shared" si="1"/>
        <v>0</v>
      </c>
      <c r="F24" s="110">
        <f t="shared" si="2"/>
        <v>0</v>
      </c>
      <c r="G24" s="110">
        <f t="shared" si="3"/>
        <v>0</v>
      </c>
      <c r="H24" s="257">
        <f>'[3]Anexo 1. Fontes e Aplicações'!F24</f>
        <v>0</v>
      </c>
    </row>
    <row r="25" spans="1:10" x14ac:dyDescent="0.25">
      <c r="A25" s="375" t="s">
        <v>15</v>
      </c>
      <c r="B25" s="375"/>
      <c r="C25" s="109">
        <f>SUM(C8,C22)</f>
        <v>13152358.890000001</v>
      </c>
      <c r="D25" s="109">
        <f>SUM(D8,D22)</f>
        <v>17690000</v>
      </c>
      <c r="E25" s="109">
        <f t="shared" si="1"/>
        <v>4537641.1099999994</v>
      </c>
      <c r="F25" s="110">
        <f t="shared" si="2"/>
        <v>34.500587673668619</v>
      </c>
      <c r="G25" s="110">
        <f t="shared" si="3"/>
        <v>100</v>
      </c>
      <c r="H25" s="257">
        <f>'[3]Anexo 1. Fontes e Aplicações'!F25</f>
        <v>13152358.890000001</v>
      </c>
    </row>
    <row r="26" spans="1:10" x14ac:dyDescent="0.25">
      <c r="A26" s="339" t="s">
        <v>323</v>
      </c>
      <c r="B26" s="339"/>
      <c r="C26" s="178"/>
      <c r="D26" s="178"/>
      <c r="E26" s="178"/>
      <c r="F26" s="179"/>
      <c r="G26" s="179"/>
    </row>
    <row r="27" spans="1:10" x14ac:dyDescent="0.25">
      <c r="A27" s="365" t="s">
        <v>231</v>
      </c>
      <c r="B27" s="365"/>
      <c r="C27" s="109">
        <f>SUM(C28:C30)</f>
        <v>11982117.75</v>
      </c>
      <c r="D27" s="109">
        <f>SUM(D28:D30)</f>
        <v>16363960.289999999</v>
      </c>
      <c r="E27" s="109">
        <f t="shared" ref="E27:E34" si="7">D27-C27</f>
        <v>4381842.5399999991</v>
      </c>
      <c r="F27" s="110">
        <f t="shared" ref="F27:F34" si="8">IFERROR(E27/C27*100,)</f>
        <v>36.569850433993601</v>
      </c>
      <c r="G27" s="110">
        <f t="shared" ref="G27:G34" si="9">IFERROR(D27/$D$34*100,0)</f>
        <v>92.50401520633126</v>
      </c>
      <c r="H27" s="257">
        <f>'[3]Anexo 1. Fontes e Aplicações'!F27</f>
        <v>11982117.75</v>
      </c>
      <c r="I27" s="125">
        <f>I28+I29+I30</f>
        <v>16363960.289999999</v>
      </c>
      <c r="J27" s="125">
        <f>D27-I27</f>
        <v>0</v>
      </c>
    </row>
    <row r="28" spans="1:10" x14ac:dyDescent="0.25">
      <c r="A28" s="365" t="s">
        <v>232</v>
      </c>
      <c r="B28" s="365"/>
      <c r="C28" s="111">
        <v>1016850.92</v>
      </c>
      <c r="D28" s="111">
        <v>1195000</v>
      </c>
      <c r="E28" s="109">
        <f t="shared" si="7"/>
        <v>178149.07999999996</v>
      </c>
      <c r="F28" s="110">
        <f t="shared" si="8"/>
        <v>17.519685186497146</v>
      </c>
      <c r="G28" s="110">
        <f t="shared" si="9"/>
        <v>6.7552289429055961</v>
      </c>
      <c r="H28" s="257">
        <f>'[3]Anexo 1. Fontes e Aplicações'!F28</f>
        <v>1016850.92</v>
      </c>
      <c r="I28" s="125">
        <f>SUMIF('Quadro Geral'!B:B,"P",'Quadro Geral'!I:I)</f>
        <v>1195000</v>
      </c>
      <c r="J28" s="125">
        <f>D28-I28</f>
        <v>0</v>
      </c>
    </row>
    <row r="29" spans="1:10" x14ac:dyDescent="0.25">
      <c r="A29" s="376" t="s">
        <v>233</v>
      </c>
      <c r="B29" s="377"/>
      <c r="C29" s="111">
        <v>0</v>
      </c>
      <c r="D29" s="111">
        <v>645000</v>
      </c>
      <c r="E29" s="109">
        <f t="shared" si="7"/>
        <v>645000</v>
      </c>
      <c r="F29" s="110">
        <f t="shared" si="8"/>
        <v>0</v>
      </c>
      <c r="G29" s="110">
        <f t="shared" si="9"/>
        <v>3.6461277557942338</v>
      </c>
      <c r="H29" s="257">
        <f>'[3]Anexo 1. Fontes e Aplicações'!F29</f>
        <v>0</v>
      </c>
      <c r="I29" s="125">
        <f>SUMIF('Quadro Geral'!B:B,"PE",'Quadro Geral'!I:I)</f>
        <v>645000</v>
      </c>
      <c r="J29" s="125">
        <f t="shared" ref="J29:J33" si="10">D29-I29</f>
        <v>0</v>
      </c>
    </row>
    <row r="30" spans="1:10" x14ac:dyDescent="0.25">
      <c r="A30" s="365" t="s">
        <v>234</v>
      </c>
      <c r="B30" s="365"/>
      <c r="C30" s="111">
        <v>10965266.83</v>
      </c>
      <c r="D30" s="111">
        <f>15850000-D31-D32-D33</f>
        <v>14523960.289999999</v>
      </c>
      <c r="E30" s="109">
        <f t="shared" si="7"/>
        <v>3558693.459999999</v>
      </c>
      <c r="F30" s="110">
        <f t="shared" si="8"/>
        <v>32.454234950888093</v>
      </c>
      <c r="G30" s="110">
        <f t="shared" si="9"/>
        <v>82.102658507631418</v>
      </c>
      <c r="H30" s="257">
        <f>'[3]Anexo 1. Fontes e Aplicações'!F30</f>
        <v>10965266.83</v>
      </c>
      <c r="I30" s="125">
        <f>SUMIF('Quadro Geral'!B:B,"A",'Quadro Geral'!I:I)-I31-I32-I33</f>
        <v>14523960.289999999</v>
      </c>
      <c r="J30" s="125">
        <f t="shared" si="10"/>
        <v>0</v>
      </c>
    </row>
    <row r="31" spans="1:10" x14ac:dyDescent="0.25">
      <c r="A31" s="363" t="s">
        <v>235</v>
      </c>
      <c r="B31" s="363"/>
      <c r="C31" s="14">
        <v>164213.18</v>
      </c>
      <c r="D31" s="14">
        <f>'Quadro Geral'!I37</f>
        <v>177637.15</v>
      </c>
      <c r="E31" s="109">
        <f t="shared" si="7"/>
        <v>13423.970000000001</v>
      </c>
      <c r="F31" s="110">
        <f t="shared" si="8"/>
        <v>8.1747214200467955</v>
      </c>
      <c r="G31" s="110">
        <f t="shared" si="9"/>
        <v>1.0041670435274166</v>
      </c>
      <c r="H31" s="257">
        <f>'[3]Anexo 1. Fontes e Aplicações'!F31</f>
        <v>164213.18</v>
      </c>
      <c r="I31" s="125">
        <f>'Quadro Geral'!I37</f>
        <v>177637.15</v>
      </c>
      <c r="J31" s="125">
        <f t="shared" si="10"/>
        <v>0</v>
      </c>
    </row>
    <row r="32" spans="1:10" x14ac:dyDescent="0.25">
      <c r="A32" s="363" t="s">
        <v>236</v>
      </c>
      <c r="B32" s="363"/>
      <c r="C32" s="14">
        <v>946027.96</v>
      </c>
      <c r="D32" s="14">
        <f>'Quadro Geral'!I33+'Quadro Geral'!I35</f>
        <v>1108402.56</v>
      </c>
      <c r="E32" s="109">
        <f t="shared" si="7"/>
        <v>162374.60000000009</v>
      </c>
      <c r="F32" s="110">
        <f t="shared" si="8"/>
        <v>17.163826743556303</v>
      </c>
      <c r="G32" s="110">
        <f t="shared" si="9"/>
        <v>6.2657013001695878</v>
      </c>
      <c r="H32" s="257">
        <f>'[3]Anexo 1. Fontes e Aplicações'!F32</f>
        <v>946027.9600000002</v>
      </c>
      <c r="I32" s="125">
        <f>'Quadro Geral'!I33+'Quadro Geral'!I35</f>
        <v>1108402.56</v>
      </c>
      <c r="J32" s="125">
        <f t="shared" si="10"/>
        <v>0</v>
      </c>
    </row>
    <row r="33" spans="1:10" x14ac:dyDescent="0.25">
      <c r="A33" s="363" t="s">
        <v>237</v>
      </c>
      <c r="B33" s="363"/>
      <c r="C33" s="14">
        <v>60000</v>
      </c>
      <c r="D33" s="14">
        <f>'Quadro Geral'!I38</f>
        <v>40000</v>
      </c>
      <c r="E33" s="109">
        <f t="shared" si="7"/>
        <v>-20000</v>
      </c>
      <c r="F33" s="110">
        <f t="shared" si="8"/>
        <v>-33.333333333333329</v>
      </c>
      <c r="G33" s="110">
        <f t="shared" si="9"/>
        <v>0.22611644997173544</v>
      </c>
      <c r="H33" s="257">
        <f>'[3]Anexo 1. Fontes e Aplicações'!F33</f>
        <v>60000</v>
      </c>
      <c r="I33" s="125">
        <f>'Quadro Geral'!I38</f>
        <v>40000</v>
      </c>
      <c r="J33" s="125">
        <f t="shared" si="10"/>
        <v>0</v>
      </c>
    </row>
    <row r="34" spans="1:10" x14ac:dyDescent="0.25">
      <c r="A34" s="375" t="s">
        <v>16</v>
      </c>
      <c r="B34" s="375"/>
      <c r="C34" s="109">
        <f>SUM(C27,C31:C33)</f>
        <v>13152358.890000001</v>
      </c>
      <c r="D34" s="109">
        <f>SUM(D27,D31:D33)</f>
        <v>17690000</v>
      </c>
      <c r="E34" s="109">
        <f t="shared" si="7"/>
        <v>4537641.1099999994</v>
      </c>
      <c r="F34" s="110">
        <f t="shared" si="8"/>
        <v>34.500587673668619</v>
      </c>
      <c r="G34" s="110">
        <f t="shared" si="9"/>
        <v>100</v>
      </c>
      <c r="H34" s="257">
        <f>'[3]Anexo 1. Fontes e Aplicações'!F34</f>
        <v>13152358.890000001</v>
      </c>
      <c r="I34" s="125">
        <f>I27+I31+I32+I33</f>
        <v>17690000</v>
      </c>
      <c r="J34" s="267">
        <f>D34-I34</f>
        <v>0</v>
      </c>
    </row>
    <row r="35" spans="1:10" x14ac:dyDescent="0.25">
      <c r="A35" s="380" t="s">
        <v>17</v>
      </c>
      <c r="B35" s="380"/>
      <c r="C35" s="112">
        <f>C25-C34</f>
        <v>0</v>
      </c>
      <c r="D35" s="112">
        <f t="shared" ref="D35:F35" si="11">D25-D34</f>
        <v>0</v>
      </c>
      <c r="E35" s="112">
        <f t="shared" si="11"/>
        <v>0</v>
      </c>
      <c r="F35" s="163">
        <f t="shared" si="11"/>
        <v>0</v>
      </c>
      <c r="G35" s="163"/>
    </row>
    <row r="36" spans="1:10" x14ac:dyDescent="0.25">
      <c r="A36" s="119"/>
      <c r="B36" s="119"/>
      <c r="C36" s="206"/>
      <c r="D36" s="206"/>
      <c r="E36" s="206"/>
      <c r="F36" s="206"/>
      <c r="G36" s="120"/>
    </row>
    <row r="37" spans="1:10" x14ac:dyDescent="0.25">
      <c r="A37" s="359" t="s">
        <v>340</v>
      </c>
      <c r="B37" s="360"/>
      <c r="C37" s="360"/>
      <c r="D37" s="360"/>
      <c r="E37" s="360"/>
      <c r="F37" s="360"/>
      <c r="G37" s="360"/>
    </row>
    <row r="38" spans="1:10" x14ac:dyDescent="0.25">
      <c r="A38" s="180" t="s">
        <v>70</v>
      </c>
      <c r="B38" s="355" t="s">
        <v>146</v>
      </c>
      <c r="C38" s="356"/>
      <c r="D38" s="357"/>
      <c r="E38" s="355" t="s">
        <v>147</v>
      </c>
      <c r="F38" s="356"/>
      <c r="G38" s="357"/>
    </row>
    <row r="39" spans="1:10" ht="47.25" x14ac:dyDescent="0.25">
      <c r="A39" s="180"/>
      <c r="B39" s="181" t="s">
        <v>343</v>
      </c>
      <c r="C39" s="181" t="s">
        <v>341</v>
      </c>
      <c r="D39" s="181" t="s">
        <v>138</v>
      </c>
      <c r="E39" s="181" t="s">
        <v>343</v>
      </c>
      <c r="F39" s="181" t="s">
        <v>341</v>
      </c>
      <c r="G39" s="181" t="s">
        <v>138</v>
      </c>
    </row>
    <row r="40" spans="1:10" x14ac:dyDescent="0.25">
      <c r="A40" s="164" t="s">
        <v>71</v>
      </c>
      <c r="B40" s="113">
        <f>C8</f>
        <v>13152358.890000001</v>
      </c>
      <c r="C40" s="113">
        <f>D8</f>
        <v>15244999.999999998</v>
      </c>
      <c r="D40" s="114">
        <f>IFERROR(C40/B40*100-100,)</f>
        <v>15.910766483045677</v>
      </c>
      <c r="E40" s="121">
        <v>12936868.890000001</v>
      </c>
      <c r="F40" s="113">
        <f>'Anexo 3. Elemento de Despesas'!O49</f>
        <v>15890000</v>
      </c>
      <c r="G40" s="114">
        <f>IFERROR(F40/E40*100-100,)</f>
        <v>22.827247729802096</v>
      </c>
    </row>
    <row r="41" spans="1:10" x14ac:dyDescent="0.25">
      <c r="A41" s="164" t="s">
        <v>72</v>
      </c>
      <c r="B41" s="113">
        <f>C22</f>
        <v>0</v>
      </c>
      <c r="C41" s="113">
        <f>D22</f>
        <v>2445000</v>
      </c>
      <c r="D41" s="114">
        <f t="shared" ref="D41:D42" si="12">IFERROR(C41/B41*100-100,)</f>
        <v>0</v>
      </c>
      <c r="E41" s="121">
        <v>215490</v>
      </c>
      <c r="F41" s="113">
        <f>'Anexo 3. Elemento de Despesas'!P49</f>
        <v>1800000</v>
      </c>
      <c r="G41" s="114">
        <f t="shared" ref="G41:G42" si="13">IFERROR(F41/E41*100-100,)</f>
        <v>735.30558262564386</v>
      </c>
    </row>
    <row r="42" spans="1:10" x14ac:dyDescent="0.25">
      <c r="A42" s="182" t="s">
        <v>0</v>
      </c>
      <c r="B42" s="183">
        <f>SUM(B40:B41)</f>
        <v>13152358.890000001</v>
      </c>
      <c r="C42" s="183">
        <f>SUM(C40:C41)</f>
        <v>17690000</v>
      </c>
      <c r="D42" s="247">
        <f t="shared" si="12"/>
        <v>34.500587673668605</v>
      </c>
      <c r="E42" s="183">
        <f>SUM(E40:E41)</f>
        <v>13152358.890000001</v>
      </c>
      <c r="F42" s="183">
        <f>SUM(F40:F41)</f>
        <v>17690000</v>
      </c>
      <c r="G42" s="247">
        <f t="shared" si="13"/>
        <v>34.500587673668605</v>
      </c>
    </row>
    <row r="43" spans="1:10" x14ac:dyDescent="0.25">
      <c r="A43" s="361"/>
      <c r="B43" s="362"/>
      <c r="C43" s="362"/>
      <c r="D43" s="362"/>
      <c r="E43" s="362"/>
      <c r="F43" s="362"/>
      <c r="G43" s="362"/>
    </row>
    <row r="44" spans="1:10" ht="31.5" x14ac:dyDescent="0.25">
      <c r="A44" s="181" t="s">
        <v>7</v>
      </c>
      <c r="B44" s="181" t="s">
        <v>170</v>
      </c>
      <c r="C44" s="181" t="s">
        <v>171</v>
      </c>
      <c r="D44" s="181" t="s">
        <v>172</v>
      </c>
    </row>
    <row r="45" spans="1:10" x14ac:dyDescent="0.25">
      <c r="A45" s="180" t="s">
        <v>99</v>
      </c>
      <c r="B45" s="204">
        <f>D8</f>
        <v>15244999.999999998</v>
      </c>
      <c r="C45" s="204">
        <f>D22</f>
        <v>2445000</v>
      </c>
      <c r="D45" s="204">
        <f>SUM(B45:C45)</f>
        <v>17690000</v>
      </c>
      <c r="E45" s="259"/>
    </row>
    <row r="46" spans="1:10" x14ac:dyDescent="0.25">
      <c r="A46" s="180" t="s">
        <v>100</v>
      </c>
      <c r="B46" s="204">
        <f>'Anexo 3. Elemento de Despesas'!O49</f>
        <v>15890000</v>
      </c>
      <c r="C46" s="204">
        <f>'Anexo 3. Elemento de Despesas'!P49</f>
        <v>1800000</v>
      </c>
      <c r="D46" s="204">
        <f>SUM(B46:C46)</f>
        <v>17690000</v>
      </c>
      <c r="E46" s="259"/>
    </row>
    <row r="47" spans="1:10" x14ac:dyDescent="0.25">
      <c r="A47" s="184" t="s">
        <v>17</v>
      </c>
      <c r="B47" s="185">
        <f>B45-B46</f>
        <v>-645000.00000000186</v>
      </c>
      <c r="C47" s="185">
        <f t="shared" ref="C47" si="14">C45-C46</f>
        <v>645000</v>
      </c>
      <c r="D47" s="185">
        <f>D45-D46</f>
        <v>0</v>
      </c>
    </row>
    <row r="48" spans="1:10" x14ac:dyDescent="0.25"/>
    <row r="49" spans="1:7" x14ac:dyDescent="0.25">
      <c r="A49" s="181" t="s">
        <v>228</v>
      </c>
      <c r="B49" s="181" t="s">
        <v>229</v>
      </c>
    </row>
    <row r="50" spans="1:7" x14ac:dyDescent="0.25">
      <c r="A50" s="181" t="s">
        <v>583</v>
      </c>
      <c r="B50" s="268">
        <f>C50</f>
        <v>13295439.140000001</v>
      </c>
      <c r="C50" s="248">
        <f>'Diretrizes - Resumo'!AL8</f>
        <v>13295439.140000001</v>
      </c>
    </row>
    <row r="51" spans="1:7" x14ac:dyDescent="0.25">
      <c r="A51" s="181" t="s">
        <v>219</v>
      </c>
      <c r="B51" s="204">
        <f>'Anexo 1. Fontes e Aplicações'!C46</f>
        <v>1800000</v>
      </c>
    </row>
    <row r="52" spans="1:7" x14ac:dyDescent="0.25">
      <c r="A52" s="181" t="s">
        <v>361</v>
      </c>
      <c r="B52" s="167">
        <f>IFERROR(B51/B50,)</f>
        <v>0.1353847722550667</v>
      </c>
    </row>
    <row r="53" spans="1:7" x14ac:dyDescent="0.25">
      <c r="A53" s="181" t="s">
        <v>362</v>
      </c>
      <c r="B53" s="204">
        <v>645000</v>
      </c>
    </row>
    <row r="54" spans="1:7" x14ac:dyDescent="0.25">
      <c r="A54" s="181" t="s">
        <v>363</v>
      </c>
      <c r="B54" s="443">
        <f>IFERROR(B53/B50,)</f>
        <v>4.8512876724732236E-2</v>
      </c>
    </row>
    <row r="55" spans="1:7" x14ac:dyDescent="0.25">
      <c r="A55" s="181" t="s">
        <v>220</v>
      </c>
      <c r="B55" s="204">
        <f>B50-B51-B53</f>
        <v>10850439.140000001</v>
      </c>
    </row>
    <row r="56" spans="1:7" x14ac:dyDescent="0.25">
      <c r="A56" s="186" t="s">
        <v>221</v>
      </c>
      <c r="B56" s="122"/>
    </row>
    <row r="57" spans="1:7" x14ac:dyDescent="0.25">
      <c r="A57" s="123"/>
      <c r="B57" s="123"/>
    </row>
    <row r="58" spans="1:7" x14ac:dyDescent="0.25"/>
    <row r="59" spans="1:7" x14ac:dyDescent="0.25"/>
    <row r="60" spans="1:7" x14ac:dyDescent="0.25">
      <c r="A60" s="349" t="s">
        <v>168</v>
      </c>
      <c r="B60" s="350"/>
      <c r="C60" s="350"/>
      <c r="D60" s="350"/>
      <c r="E60" s="350"/>
      <c r="F60" s="350"/>
      <c r="G60" s="351"/>
    </row>
    <row r="61" spans="1:7" ht="72" customHeight="1" x14ac:dyDescent="0.25">
      <c r="A61" s="352" t="s">
        <v>589</v>
      </c>
      <c r="B61" s="353"/>
      <c r="C61" s="353"/>
      <c r="D61" s="353"/>
      <c r="E61" s="353"/>
      <c r="F61" s="353"/>
      <c r="G61" s="354"/>
    </row>
  </sheetData>
  <mergeCells count="44">
    <mergeCell ref="A1:G1"/>
    <mergeCell ref="A33:B33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G5:G6"/>
    <mergeCell ref="A28:B28"/>
    <mergeCell ref="A30:B30"/>
    <mergeCell ref="A15:B15"/>
    <mergeCell ref="A16:B16"/>
    <mergeCell ref="A2:G2"/>
    <mergeCell ref="A3:G3"/>
    <mergeCell ref="E5:F5"/>
    <mergeCell ref="D5:D6"/>
    <mergeCell ref="A31:B31"/>
    <mergeCell ref="A5:B6"/>
    <mergeCell ref="A7:B7"/>
    <mergeCell ref="A24:B24"/>
    <mergeCell ref="A25:B25"/>
    <mergeCell ref="A26:B26"/>
    <mergeCell ref="A27:B27"/>
    <mergeCell ref="C5:C6"/>
    <mergeCell ref="A29:B29"/>
    <mergeCell ref="A17:B17"/>
    <mergeCell ref="A10:B10"/>
    <mergeCell ref="A11:B11"/>
    <mergeCell ref="A60:G60"/>
    <mergeCell ref="A61:G61"/>
    <mergeCell ref="E38:G38"/>
    <mergeCell ref="B38:D38"/>
    <mergeCell ref="A4:E4"/>
    <mergeCell ref="A37:G37"/>
    <mergeCell ref="A43:G43"/>
    <mergeCell ref="A32:B32"/>
    <mergeCell ref="A23:B23"/>
    <mergeCell ref="A12:B12"/>
    <mergeCell ref="A13:B13"/>
    <mergeCell ref="A14:B14"/>
  </mergeCells>
  <phoneticPr fontId="21" type="noConversion"/>
  <conditionalFormatting sqref="C36:F36">
    <cfRule type="cellIs" dxfId="14" priority="6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ignoredErrors>
    <ignoredError sqref="C14:D14 C34 C27" formulaRange="1"/>
    <ignoredError sqref="D31:D33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FFFF00"/>
  </sheetPr>
  <dimension ref="A1:Q29"/>
  <sheetViews>
    <sheetView zoomScale="70" zoomScaleNormal="70" workbookViewId="0">
      <selection activeCell="G5" sqref="G5"/>
    </sheetView>
  </sheetViews>
  <sheetFormatPr defaultColWidth="9.140625" defaultRowHeight="26.25" customHeight="1" zeroHeight="1" x14ac:dyDescent="0.4"/>
  <cols>
    <col min="1" max="1" width="7.85546875" style="75" bestFit="1" customWidth="1"/>
    <col min="2" max="2" width="47.5703125" style="75" bestFit="1" customWidth="1"/>
    <col min="3" max="3" width="10.42578125" style="75" bestFit="1" customWidth="1"/>
    <col min="4" max="4" width="23.85546875" style="75" bestFit="1" customWidth="1"/>
    <col min="5" max="5" width="20.140625" style="75" bestFit="1" customWidth="1"/>
    <col min="6" max="6" width="14.42578125" style="75" bestFit="1" customWidth="1"/>
    <col min="7" max="8" width="18.28515625" style="75" customWidth="1"/>
    <col min="9" max="9" width="7.85546875" style="75" bestFit="1" customWidth="1"/>
    <col min="10" max="10" width="53" style="75" customWidth="1"/>
    <col min="11" max="11" width="10.42578125" style="75" bestFit="1" customWidth="1"/>
    <col min="12" max="12" width="23.85546875" style="75" bestFit="1" customWidth="1"/>
    <col min="13" max="13" width="20.140625" style="75" bestFit="1" customWidth="1"/>
    <col min="14" max="14" width="14.42578125" style="75" bestFit="1" customWidth="1"/>
    <col min="15" max="15" width="18.28515625" style="75" customWidth="1"/>
    <col min="16" max="16" width="18.28515625" style="128" customWidth="1"/>
    <col min="17" max="16384" width="9.140625" style="128"/>
  </cols>
  <sheetData>
    <row r="1" spans="1:17" x14ac:dyDescent="0.4">
      <c r="A1" s="396" t="s">
        <v>58</v>
      </c>
      <c r="B1" s="396"/>
      <c r="C1" s="396"/>
      <c r="D1" s="396"/>
      <c r="E1" s="396"/>
      <c r="F1" s="396"/>
      <c r="G1" s="397"/>
      <c r="H1" s="397"/>
      <c r="I1" s="397"/>
      <c r="J1" s="396"/>
      <c r="K1" s="396"/>
      <c r="L1" s="396"/>
      <c r="M1" s="396"/>
      <c r="N1" s="396"/>
    </row>
    <row r="2" spans="1:17" x14ac:dyDescent="0.4">
      <c r="A2" s="332" t="str">
        <f>'[4]Indicadores e Metas'!A2:F2</f>
        <v xml:space="preserve">CAU/UF:  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7" x14ac:dyDescent="0.4">
      <c r="A3" s="332" t="s">
        <v>344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7" x14ac:dyDescent="0.4"/>
    <row r="5" spans="1:17" ht="36" customHeight="1" x14ac:dyDescent="0.4">
      <c r="A5" s="383" t="s">
        <v>45</v>
      </c>
      <c r="B5" s="387" t="s">
        <v>46</v>
      </c>
      <c r="C5" s="387"/>
      <c r="D5" s="217" t="s">
        <v>347</v>
      </c>
      <c r="E5" s="217" t="s">
        <v>345</v>
      </c>
      <c r="F5" s="217" t="s">
        <v>51</v>
      </c>
      <c r="G5" s="157"/>
      <c r="H5" s="157"/>
      <c r="I5" s="383" t="s">
        <v>45</v>
      </c>
      <c r="J5" s="387" t="s">
        <v>47</v>
      </c>
      <c r="K5" s="387"/>
      <c r="L5" s="217" t="s">
        <v>347</v>
      </c>
      <c r="M5" s="217" t="s">
        <v>345</v>
      </c>
      <c r="N5" s="217" t="s">
        <v>138</v>
      </c>
      <c r="P5" s="75"/>
    </row>
    <row r="6" spans="1:17" ht="36" customHeight="1" x14ac:dyDescent="0.4">
      <c r="A6" s="383"/>
      <c r="B6" s="399" t="s">
        <v>144</v>
      </c>
      <c r="C6" s="399"/>
      <c r="D6" s="214">
        <f>'[4]Anexo 1. Fontes e Aplicações'!C9</f>
        <v>11883036.600000001</v>
      </c>
      <c r="E6" s="214">
        <f>'[4]Anexo 1. Fontes e Aplicações'!D9</f>
        <v>13100510.399999999</v>
      </c>
      <c r="F6" s="16">
        <f>IFERROR(E6/D6*100-100,0)</f>
        <v>10.2454771535417</v>
      </c>
      <c r="G6" s="269">
        <f>'[3]Anexo 2. Limites Estratégicos'!E5</f>
        <v>11883036.6</v>
      </c>
      <c r="H6" s="269">
        <f>'Anexo 1. Fontes e Aplicações'!D9</f>
        <v>13100510.399999999</v>
      </c>
      <c r="I6" s="398"/>
      <c r="J6" s="400" t="s">
        <v>64</v>
      </c>
      <c r="K6" s="400"/>
      <c r="L6" s="130">
        <v>6757904.4500000002</v>
      </c>
      <c r="M6" s="212">
        <f>8396524.33+10000</f>
        <v>8406524.3300000001</v>
      </c>
      <c r="N6" s="215">
        <f>IFERROR(M6/L6*100-100,0)</f>
        <v>24.395430450337301</v>
      </c>
      <c r="O6" s="269">
        <f>'[3]Anexo 2. Limites Estratégicos'!L5</f>
        <v>6757904.4499999983</v>
      </c>
      <c r="P6" s="269">
        <f>'Anexo 3. Elemento de Despesas'!F49</f>
        <v>8406524.3399999999</v>
      </c>
    </row>
    <row r="7" spans="1:17" ht="36" customHeight="1" x14ac:dyDescent="0.4">
      <c r="A7" s="383"/>
      <c r="B7" s="399" t="s">
        <v>48</v>
      </c>
      <c r="C7" s="399"/>
      <c r="D7" s="214">
        <f>'[4]Anexo 1. Fontes e Aplicações'!C21</f>
        <v>0</v>
      </c>
      <c r="E7" s="214">
        <f>'[4]Anexo 1. Fontes e Aplicações'!D21</f>
        <v>0</v>
      </c>
      <c r="F7" s="16">
        <f>IFERROR(E7/D7*100-100,0)</f>
        <v>0</v>
      </c>
      <c r="G7" s="269">
        <f>'[3]Anexo 2. Limites Estratégicos'!E6</f>
        <v>0</v>
      </c>
      <c r="H7" s="269">
        <v>0</v>
      </c>
      <c r="I7" s="398"/>
      <c r="J7" s="400" t="s">
        <v>59</v>
      </c>
      <c r="K7" s="400"/>
      <c r="L7" s="130">
        <v>819057.13</v>
      </c>
      <c r="M7" s="276">
        <v>1504979.2340000002</v>
      </c>
      <c r="N7" s="215">
        <f>IFERROR(M7/L7*100-100,0)</f>
        <v>83.745330927038054</v>
      </c>
      <c r="O7" s="269">
        <f>'[3]Anexo 2. Limites Estratégicos'!L6</f>
        <v>819057.13</v>
      </c>
      <c r="P7" s="274">
        <f>M7</f>
        <v>1504979.2340000002</v>
      </c>
    </row>
    <row r="8" spans="1:17" ht="36" customHeight="1" x14ac:dyDescent="0.4">
      <c r="A8" s="383"/>
      <c r="B8" s="401" t="s">
        <v>60</v>
      </c>
      <c r="C8" s="401"/>
      <c r="D8" s="187">
        <f>SUM(D6:D7)</f>
        <v>11883036.600000001</v>
      </c>
      <c r="E8" s="187">
        <f>SUM(E6:E7)</f>
        <v>13100510.399999999</v>
      </c>
      <c r="F8" s="188">
        <f>IFERROR(E8/D8*100-100,0)</f>
        <v>10.2454771535417</v>
      </c>
      <c r="G8" s="269">
        <f>'[3]Anexo 2. Limites Estratégicos'!E7</f>
        <v>11883036.6</v>
      </c>
      <c r="H8" s="269">
        <f>H6+H7</f>
        <v>13100510.399999999</v>
      </c>
      <c r="I8" s="398"/>
      <c r="J8" s="400" t="s">
        <v>61</v>
      </c>
      <c r="K8" s="400"/>
      <c r="L8" s="213">
        <f>'[4]Anexo 1. Fontes e Aplicações'!C8</f>
        <v>13152358.890000001</v>
      </c>
      <c r="M8" s="212">
        <f>'Anexo 1. Fontes e Aplicações'!D8</f>
        <v>15244999.999999998</v>
      </c>
      <c r="N8" s="215">
        <f>IFERROR(M8/L8*100-100,0)</f>
        <v>15.910766483045677</v>
      </c>
      <c r="O8" s="269">
        <f>'[3]Anexo 2. Limites Estratégicos'!L7</f>
        <v>13152358.890000001</v>
      </c>
      <c r="P8" s="269">
        <f>'Anexo 1. Fontes e Aplicações'!D8</f>
        <v>15244999.999999998</v>
      </c>
    </row>
    <row r="9" spans="1:17" ht="36" customHeight="1" x14ac:dyDescent="0.4">
      <c r="A9" s="383"/>
      <c r="B9" s="399" t="s">
        <v>62</v>
      </c>
      <c r="C9" s="399"/>
      <c r="D9" s="214">
        <f>'[4]Anexo 1. Fontes e Aplicações'!C31</f>
        <v>164213.18</v>
      </c>
      <c r="E9" s="214">
        <f>'Quadro Geral'!I37</f>
        <v>177637.15</v>
      </c>
      <c r="F9" s="16">
        <f>IFERROR(E9/D9*100-100,0)</f>
        <v>8.1747214200468079</v>
      </c>
      <c r="G9" s="269">
        <f>'[3]Anexo 2. Limites Estratégicos'!E8</f>
        <v>164213.18</v>
      </c>
      <c r="H9" s="269">
        <f>'Anexo 1. Fontes e Aplicações'!D31</f>
        <v>177637.15</v>
      </c>
      <c r="I9" s="395"/>
      <c r="J9" s="395"/>
      <c r="K9" s="129"/>
      <c r="L9" s="206"/>
      <c r="M9" s="206"/>
      <c r="N9" s="131"/>
      <c r="O9" s="131"/>
      <c r="P9" s="75"/>
    </row>
    <row r="10" spans="1:17" ht="36" customHeight="1" x14ac:dyDescent="0.4">
      <c r="A10" s="383"/>
      <c r="B10" s="339" t="s">
        <v>73</v>
      </c>
      <c r="C10" s="339"/>
      <c r="D10" s="187">
        <f>D8-D9</f>
        <v>11718823.420000002</v>
      </c>
      <c r="E10" s="187">
        <f>E8-E9</f>
        <v>12922873.249999998</v>
      </c>
      <c r="F10" s="188">
        <f>IFERROR(E10/D10*100-100,0)</f>
        <v>10.274494177846364</v>
      </c>
      <c r="G10" s="269">
        <f>'[3]Anexo 2. Limites Estratégicos'!E9</f>
        <v>11718823.42</v>
      </c>
      <c r="H10" s="269">
        <f>H8-H9</f>
        <v>12922873.249999998</v>
      </c>
      <c r="I10" s="117"/>
      <c r="J10" s="117"/>
      <c r="K10" s="129"/>
      <c r="L10" s="132"/>
      <c r="M10" s="133"/>
      <c r="N10" s="132"/>
      <c r="O10" s="134"/>
      <c r="P10" s="75"/>
    </row>
    <row r="11" spans="1:17" ht="36" customHeight="1" x14ac:dyDescent="0.4">
      <c r="A11" s="135"/>
      <c r="B11" s="136"/>
      <c r="C11" s="136"/>
      <c r="D11" s="137"/>
      <c r="E11" s="137"/>
      <c r="F11" s="132"/>
      <c r="G11" s="137"/>
      <c r="H11" s="137"/>
      <c r="I11" s="117"/>
      <c r="J11" s="117"/>
      <c r="K11" s="129"/>
      <c r="L11" s="132"/>
      <c r="M11" s="133"/>
      <c r="N11" s="132"/>
      <c r="O11" s="138"/>
      <c r="P11" s="75"/>
    </row>
    <row r="12" spans="1:17" ht="36" customHeight="1" x14ac:dyDescent="0.4">
      <c r="A12" s="383" t="s">
        <v>68</v>
      </c>
      <c r="B12" s="387" t="s">
        <v>52</v>
      </c>
      <c r="C12" s="387"/>
      <c r="D12" s="217" t="s">
        <v>347</v>
      </c>
      <c r="E12" s="217" t="s">
        <v>345</v>
      </c>
      <c r="F12" s="217" t="s">
        <v>3</v>
      </c>
      <c r="G12" s="137"/>
      <c r="H12" s="137"/>
      <c r="I12" s="387" t="s">
        <v>52</v>
      </c>
      <c r="J12" s="387"/>
      <c r="K12" s="387"/>
      <c r="L12" s="217" t="s">
        <v>347</v>
      </c>
      <c r="M12" s="217" t="s">
        <v>345</v>
      </c>
      <c r="N12" s="217" t="s">
        <v>69</v>
      </c>
      <c r="O12" s="134"/>
      <c r="P12" s="75"/>
    </row>
    <row r="13" spans="1:17" ht="36" customHeight="1" x14ac:dyDescent="0.4">
      <c r="A13" s="383"/>
      <c r="B13" s="385" t="s">
        <v>364</v>
      </c>
      <c r="C13" s="158" t="s">
        <v>49</v>
      </c>
      <c r="D13" s="130">
        <f>'[4]Quadro Geral'!H10+'[4]Quadro Geral'!H31+'[4]Quadro Geral'!H32+'[4]Quadro Geral'!H33</f>
        <v>2634712.7800000003</v>
      </c>
      <c r="E13" s="205">
        <f>'Quadro Geral'!I10+'Quadro Geral'!I31+'Quadro Geral'!I32+'Quadro Geral'!I33</f>
        <v>3293938.79</v>
      </c>
      <c r="F13" s="16">
        <f>IFERROR(E13/D13*100-100,)</f>
        <v>25.020792209464275</v>
      </c>
      <c r="G13" s="269">
        <f>'[3]Anexo 2. Limites Estratégicos'!E12</f>
        <v>2634712.7800000003</v>
      </c>
      <c r="H13" s="271">
        <f>'Matriz de Obj. Estrat.'!J5</f>
        <v>3293938.79</v>
      </c>
      <c r="I13" s="388" t="s">
        <v>371</v>
      </c>
      <c r="J13" s="389"/>
      <c r="K13" s="158" t="s">
        <v>49</v>
      </c>
      <c r="L13" s="213">
        <f>(L6-L7)</f>
        <v>5938847.3200000003</v>
      </c>
      <c r="M13" s="212">
        <f>(M6-M7)</f>
        <v>6901545.0959999999</v>
      </c>
      <c r="N13" s="16">
        <f>IFERROR(M13/L13*100-100,0)</f>
        <v>16.210178913978197</v>
      </c>
      <c r="O13" s="269">
        <f>'[3]Anexo 2. Limites Estratégicos'!L12</f>
        <v>5938847.3199999984</v>
      </c>
      <c r="P13" s="271">
        <f>P6-P7</f>
        <v>6901545.1059999997</v>
      </c>
      <c r="Q13" s="139"/>
    </row>
    <row r="14" spans="1:17" ht="36" customHeight="1" x14ac:dyDescent="0.4">
      <c r="A14" s="383"/>
      <c r="B14" s="386"/>
      <c r="C14" s="210" t="s">
        <v>50</v>
      </c>
      <c r="D14" s="160">
        <f>IFERROR(D13/$D$10,0)</f>
        <v>0.22482741531060632</v>
      </c>
      <c r="E14" s="160">
        <f>IFERROR(E13/$E$10,0)</f>
        <v>0.25489213786105969</v>
      </c>
      <c r="F14" s="159">
        <f>(E14-D14)*100</f>
        <v>3.0064722550453364</v>
      </c>
      <c r="G14" s="270">
        <f>'[3]Anexo 2. Limites Estratégicos'!E13</f>
        <v>0.22482741531060635</v>
      </c>
      <c r="H14" s="270">
        <f>H13/$H$10</f>
        <v>0.25489213786105969</v>
      </c>
      <c r="I14" s="390"/>
      <c r="J14" s="391"/>
      <c r="K14" s="210" t="s">
        <v>50</v>
      </c>
      <c r="L14" s="161">
        <f>IFERROR(L13/L8,)</f>
        <v>0.45154237119513396</v>
      </c>
      <c r="M14" s="161">
        <f>IFERROR(M13/M8,)</f>
        <v>0.45270876326664483</v>
      </c>
      <c r="N14" s="159">
        <f>(M14-L14)*100</f>
        <v>0.11663920715108689</v>
      </c>
      <c r="O14" s="270">
        <f>'[3]Anexo 2. Limites Estratégicos'!L13</f>
        <v>0.4515423711951338</v>
      </c>
      <c r="P14" s="270">
        <f>P13/P8</f>
        <v>0.45270876392259762</v>
      </c>
      <c r="Q14" s="139"/>
    </row>
    <row r="15" spans="1:17" ht="36" customHeight="1" x14ac:dyDescent="0.4">
      <c r="A15" s="383"/>
      <c r="B15" s="385" t="s">
        <v>365</v>
      </c>
      <c r="C15" s="158" t="s">
        <v>49</v>
      </c>
      <c r="D15" s="130">
        <f>G15</f>
        <v>2626268.9100000006</v>
      </c>
      <c r="E15" s="130">
        <f>SUM('Quadro Geral'!I25+'Quadro Geral'!I34+'Quadro Geral'!I35+'Quadro Geral'!I41+'Quadro Geral'!I42+'Quadro Geral'!I43+'Quadro Geral'!I44+'Quadro Geral'!I45)</f>
        <v>3639627.51</v>
      </c>
      <c r="F15" s="16">
        <f>IFERROR(E15/D15*100-100,)</f>
        <v>38.58548513982899</v>
      </c>
      <c r="G15" s="127">
        <f>'[3]Anexo 2. Limites Estratégicos'!E14</f>
        <v>2626268.9100000006</v>
      </c>
      <c r="H15" s="271">
        <f>'Matriz de Obj. Estrat.'!J6</f>
        <v>3639627.51</v>
      </c>
      <c r="I15" s="384" t="s">
        <v>238</v>
      </c>
      <c r="J15" s="384"/>
      <c r="K15" s="158" t="s">
        <v>49</v>
      </c>
      <c r="L15" s="130">
        <f>'[4]Quadro Geral'!H24</f>
        <v>135158.09</v>
      </c>
      <c r="M15" s="205">
        <f>'Quadro Geral'!I24</f>
        <v>189000</v>
      </c>
      <c r="N15" s="16">
        <f>IFERROR(M15/L15*100-100,0)</f>
        <v>39.836246576139104</v>
      </c>
      <c r="O15" s="269">
        <f>'[3]Anexo 2. Limites Estratégicos'!L14</f>
        <v>135158.09</v>
      </c>
      <c r="P15" s="271">
        <f>'Matriz de Obj. Estrat.'!J16</f>
        <v>189000</v>
      </c>
    </row>
    <row r="16" spans="1:17" ht="36" customHeight="1" x14ac:dyDescent="0.4">
      <c r="A16" s="383"/>
      <c r="B16" s="386"/>
      <c r="C16" s="210" t="s">
        <v>50</v>
      </c>
      <c r="D16" s="160">
        <f>IFERROR(D15/$D$10,0)</f>
        <v>0.2241068762515751</v>
      </c>
      <c r="E16" s="160">
        <f>IFERROR(E15/$E$10,0)</f>
        <v>0.281642281835427</v>
      </c>
      <c r="F16" s="159">
        <f>(E16-D16)*100</f>
        <v>5.7535405583851897</v>
      </c>
      <c r="G16" s="162">
        <f>'[3]Anexo 2. Limites Estratégicos'!E15</f>
        <v>0.22410687625157513</v>
      </c>
      <c r="H16" s="270">
        <f>H15/$H$10</f>
        <v>0.281642281835427</v>
      </c>
      <c r="I16" s="384"/>
      <c r="J16" s="384"/>
      <c r="K16" s="211" t="s">
        <v>50</v>
      </c>
      <c r="L16" s="161">
        <f>IFERROR(L15/L6,)</f>
        <v>2.0000000147974865E-2</v>
      </c>
      <c r="M16" s="161">
        <f>IFERROR(M15/M6,)</f>
        <v>2.2482537679159968E-2</v>
      </c>
      <c r="N16" s="159">
        <f>(M16-L16)*100</f>
        <v>0.24825375311851028</v>
      </c>
      <c r="O16" s="270">
        <f>'[3]Anexo 2. Limites Estratégicos'!L15</f>
        <v>2.0000000147974869E-2</v>
      </c>
      <c r="P16" s="270">
        <f>P15/P6</f>
        <v>2.2482537652415813E-2</v>
      </c>
    </row>
    <row r="17" spans="1:14" ht="36" customHeight="1" x14ac:dyDescent="0.4">
      <c r="A17" s="383"/>
      <c r="B17" s="385" t="s">
        <v>366</v>
      </c>
      <c r="C17" s="158" t="s">
        <v>49</v>
      </c>
      <c r="D17" s="130">
        <f>'[4]Quadro Geral'!H26</f>
        <v>771063.97239999997</v>
      </c>
      <c r="E17" s="130">
        <f>'Quadro Geral'!I26</f>
        <v>826930.67999999993</v>
      </c>
      <c r="F17" s="16">
        <f>IFERROR(E17/D17*100-100,)</f>
        <v>7.2454049987720452</v>
      </c>
      <c r="G17" s="269">
        <f>'[3]Anexo 2. Limites Estratégicos'!E16</f>
        <v>771063.97</v>
      </c>
      <c r="H17" s="271">
        <f>'Matriz de Obj. Estrat.'!J11</f>
        <v>826930.67999999993</v>
      </c>
      <c r="I17" s="394"/>
      <c r="J17" s="394"/>
      <c r="K17" s="394"/>
      <c r="L17" s="394"/>
      <c r="M17" s="394"/>
      <c r="N17" s="394"/>
    </row>
    <row r="18" spans="1:14" ht="36" customHeight="1" x14ac:dyDescent="0.4">
      <c r="A18" s="383"/>
      <c r="B18" s="386"/>
      <c r="C18" s="210" t="s">
        <v>50</v>
      </c>
      <c r="D18" s="160">
        <f>IFERROR(D17/$D$10,0)</f>
        <v>6.5797046748230628E-2</v>
      </c>
      <c r="E18" s="160">
        <f>IFERROR(E17/$E$10,0)</f>
        <v>6.3989692075638066E-2</v>
      </c>
      <c r="F18" s="159">
        <f>(E18-D18)*100</f>
        <v>-0.18073546725925621</v>
      </c>
      <c r="G18" s="270">
        <f>'[3]Anexo 2. Limites Estratégicos'!E17</f>
        <v>6.5797046543431909E-2</v>
      </c>
      <c r="H18" s="270">
        <f>H17/$H$10</f>
        <v>6.3989692075638066E-2</v>
      </c>
      <c r="I18" s="392" t="s">
        <v>372</v>
      </c>
      <c r="J18" s="392"/>
      <c r="K18" s="393" t="s">
        <v>373</v>
      </c>
      <c r="L18" s="393"/>
      <c r="M18" s="393"/>
      <c r="N18" s="393"/>
    </row>
    <row r="19" spans="1:14" ht="36" customHeight="1" x14ac:dyDescent="0.4">
      <c r="A19" s="383"/>
      <c r="B19" s="385" t="s">
        <v>367</v>
      </c>
      <c r="C19" s="158" t="s">
        <v>49</v>
      </c>
      <c r="D19" s="130">
        <f>'[4]Quadro Geral'!H18+'[4]Quadro Geral'!H19+'[4]Quadro Geral'!H20+'[4]Quadro Geral'!H47</f>
        <v>250200</v>
      </c>
      <c r="E19" s="130">
        <f>'Quadro Geral'!I18+'Quadro Geral'!I19+'Quadro Geral'!I20+'Quadro Geral'!I47</f>
        <v>645000</v>
      </c>
      <c r="F19" s="16">
        <f>IFERROR(E19/D19*100-100,)</f>
        <v>157.79376498800957</v>
      </c>
      <c r="G19" s="269">
        <f>'[3]Anexo 2. Limites Estratégicos'!E18</f>
        <v>250200</v>
      </c>
      <c r="H19" s="271">
        <f>'Matriz de Obj. Estrat.'!F7</f>
        <v>645000</v>
      </c>
      <c r="I19" s="392"/>
      <c r="J19" s="392"/>
      <c r="K19" s="393"/>
      <c r="L19" s="393"/>
      <c r="M19" s="393"/>
      <c r="N19" s="393"/>
    </row>
    <row r="20" spans="1:14" ht="36" customHeight="1" x14ac:dyDescent="0.4">
      <c r="A20" s="383"/>
      <c r="B20" s="386"/>
      <c r="C20" s="210" t="s">
        <v>50</v>
      </c>
      <c r="D20" s="160">
        <f>IFERROR(D19/$D$10,0)</f>
        <v>2.1350266236881309E-2</v>
      </c>
      <c r="E20" s="160">
        <f>IFERROR(E19/$E$10,0)</f>
        <v>4.9911500911765119E-2</v>
      </c>
      <c r="F20" s="159">
        <f>(E20-D20)*100</f>
        <v>2.8561234674883811</v>
      </c>
      <c r="G20" s="270">
        <f>'[3]Anexo 2. Limites Estratégicos'!E19</f>
        <v>2.1350266236881313E-2</v>
      </c>
      <c r="H20" s="270">
        <f>H19/$H$10</f>
        <v>4.9911500911765119E-2</v>
      </c>
      <c r="I20" s="392"/>
      <c r="J20" s="392"/>
      <c r="K20" s="393"/>
      <c r="L20" s="393"/>
      <c r="M20" s="393"/>
      <c r="N20" s="393"/>
    </row>
    <row r="21" spans="1:14" ht="36" customHeight="1" x14ac:dyDescent="0.4">
      <c r="A21" s="383"/>
      <c r="B21" s="385" t="s">
        <v>368</v>
      </c>
      <c r="C21" s="158" t="s">
        <v>49</v>
      </c>
      <c r="D21" s="130">
        <f>G21</f>
        <v>3123341.6199999996</v>
      </c>
      <c r="E21" s="130">
        <f>'Quadro Geral'!I12+'Quadro Geral'!I17+'Quadro Geral'!I18+'Quadro Geral'!I19+'Quadro Geral'!I20+'Quadro Geral'!I26+'Quadro Geral'!I27+'Quadro Geral'!I30+'Quadro Geral'!I36+'Quadro Geral'!I40+'Quadro Geral'!I47</f>
        <v>3944463.36</v>
      </c>
      <c r="F21" s="16">
        <f>IFERROR(E21/D21*100-100,)</f>
        <v>26.2898472181855</v>
      </c>
      <c r="G21" s="127">
        <f>'[3]Anexo 2. Limites Estratégicos'!E20</f>
        <v>3123341.6199999996</v>
      </c>
      <c r="H21" s="271">
        <f>'Matriz de Obj. Estrat.'!J11+'Matriz de Obj. Estrat.'!J7+'Matriz de Obj. Estrat.'!J15</f>
        <v>3944463.36</v>
      </c>
      <c r="I21" s="392"/>
      <c r="J21" s="392"/>
      <c r="K21" s="393"/>
      <c r="L21" s="393"/>
      <c r="M21" s="393"/>
      <c r="N21" s="393"/>
    </row>
    <row r="22" spans="1:14" ht="36" customHeight="1" x14ac:dyDescent="0.4">
      <c r="A22" s="383"/>
      <c r="B22" s="386"/>
      <c r="C22" s="210" t="s">
        <v>50</v>
      </c>
      <c r="D22" s="160">
        <f>IFERROR(D21/$D$10,0)</f>
        <v>0.26652348175752266</v>
      </c>
      <c r="E22" s="160">
        <f>IFERROR(E21/$E$10,0)</f>
        <v>0.305231141998549</v>
      </c>
      <c r="F22" s="159">
        <f>(E22-D22)*100</f>
        <v>3.8707660241026343</v>
      </c>
      <c r="G22" s="162">
        <f>'[3]Anexo 2. Limites Estratégicos'!E21</f>
        <v>0.26652348175752272</v>
      </c>
      <c r="H22" s="270">
        <f>H21/$H$10</f>
        <v>0.305231141998549</v>
      </c>
      <c r="I22" s="392"/>
      <c r="J22" s="392"/>
      <c r="K22" s="393"/>
      <c r="L22" s="393"/>
      <c r="M22" s="393"/>
      <c r="N22" s="393"/>
    </row>
    <row r="23" spans="1:14" ht="36" customHeight="1" x14ac:dyDescent="0.4">
      <c r="A23" s="383"/>
      <c r="B23" s="385" t="s">
        <v>369</v>
      </c>
      <c r="C23" s="158" t="s">
        <v>49</v>
      </c>
      <c r="D23" s="130">
        <f>'[4]Quadro Geral'!H21</f>
        <v>300000</v>
      </c>
      <c r="E23" s="130">
        <f>'Quadro Geral'!I21</f>
        <v>500000</v>
      </c>
      <c r="F23" s="16">
        <f>IFERROR(E23/D23*100-100,)</f>
        <v>66.666666666666686</v>
      </c>
      <c r="G23" s="269">
        <f>'[3]Anexo 2. Limites Estratégicos'!E22</f>
        <v>300000</v>
      </c>
      <c r="H23" s="271">
        <f>'Quadro Geral'!I21</f>
        <v>500000</v>
      </c>
      <c r="I23" s="392"/>
      <c r="J23" s="392"/>
      <c r="K23" s="393"/>
      <c r="L23" s="393"/>
      <c r="M23" s="393"/>
      <c r="N23" s="393"/>
    </row>
    <row r="24" spans="1:14" ht="36" customHeight="1" x14ac:dyDescent="0.4">
      <c r="A24" s="383"/>
      <c r="B24" s="386"/>
      <c r="C24" s="210" t="s">
        <v>50</v>
      </c>
      <c r="D24" s="160">
        <f>IFERROR(D23/$D$10,0)</f>
        <v>2.5599839612567517E-2</v>
      </c>
      <c r="E24" s="160">
        <f>IFERROR(E23/$E$10,0)</f>
        <v>3.8691085978112494E-2</v>
      </c>
      <c r="F24" s="159">
        <f>(E24-D24)*100</f>
        <v>1.3091246365544977</v>
      </c>
      <c r="G24" s="270">
        <f>'[3]Anexo 2. Limites Estratégicos'!E23</f>
        <v>2.559983961256752E-2</v>
      </c>
      <c r="H24" s="270">
        <f>H23/$H$10</f>
        <v>3.8691085978112494E-2</v>
      </c>
    </row>
    <row r="25" spans="1:14" ht="36" customHeight="1" x14ac:dyDescent="0.4">
      <c r="A25" s="383"/>
      <c r="B25" s="385" t="s">
        <v>370</v>
      </c>
      <c r="C25" s="158" t="s">
        <v>49</v>
      </c>
      <c r="D25" s="130">
        <f>'[4]Anexo 1. Fontes e Aplicações'!C33</f>
        <v>60000</v>
      </c>
      <c r="E25" s="130">
        <f>'Quadro Geral'!I38</f>
        <v>40000</v>
      </c>
      <c r="F25" s="16">
        <f>IFERROR(E25/D25*100-100,)</f>
        <v>-33.333333333333343</v>
      </c>
      <c r="G25" s="269">
        <f>'[3]Anexo 2. Limites Estratégicos'!E24</f>
        <v>60000</v>
      </c>
      <c r="H25" s="271">
        <f>'Anexo 1. Fontes e Aplicações'!D33</f>
        <v>40000</v>
      </c>
    </row>
    <row r="26" spans="1:14" ht="36" customHeight="1" x14ac:dyDescent="0.4">
      <c r="A26" s="383"/>
      <c r="B26" s="386"/>
      <c r="C26" s="210" t="s">
        <v>50</v>
      </c>
      <c r="D26" s="160">
        <f>IFERROR(D25/$D$10,0)</f>
        <v>5.1199679225135035E-3</v>
      </c>
      <c r="E26" s="160">
        <f>IFERROR(E25/$E$10,0)</f>
        <v>3.0952868782489996E-3</v>
      </c>
      <c r="F26" s="159">
        <f>(E26-D26)*100</f>
        <v>-0.20246810442645038</v>
      </c>
      <c r="G26" s="270">
        <f>'[3]Anexo 2. Limites Estratégicos'!E25</f>
        <v>5.1199679225135044E-3</v>
      </c>
      <c r="H26" s="270">
        <f>H25/$H$10</f>
        <v>3.0952868782489996E-3</v>
      </c>
    </row>
    <row r="27" spans="1:14" x14ac:dyDescent="0.4">
      <c r="B27" s="106"/>
    </row>
    <row r="28" spans="1:14" x14ac:dyDescent="0.4">
      <c r="A28" s="332" t="s">
        <v>346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</row>
    <row r="29" spans="1:14" ht="162.75" customHeight="1" x14ac:dyDescent="0.4">
      <c r="A29" s="382" t="s">
        <v>588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</sheetData>
  <sheetProtection selectLockedCells="1"/>
  <mergeCells count="33">
    <mergeCell ref="I9:J9"/>
    <mergeCell ref="B21:B22"/>
    <mergeCell ref="A1:N1"/>
    <mergeCell ref="A5:A10"/>
    <mergeCell ref="B5:C5"/>
    <mergeCell ref="I5:I8"/>
    <mergeCell ref="J5:K5"/>
    <mergeCell ref="B6:C6"/>
    <mergeCell ref="J6:K6"/>
    <mergeCell ref="B7:C7"/>
    <mergeCell ref="J7:K7"/>
    <mergeCell ref="B8:C8"/>
    <mergeCell ref="J8:K8"/>
    <mergeCell ref="B9:C9"/>
    <mergeCell ref="A3:N3"/>
    <mergeCell ref="A2:N2"/>
    <mergeCell ref="B10:C10"/>
    <mergeCell ref="A28:N28"/>
    <mergeCell ref="B25:B26"/>
    <mergeCell ref="I17:N17"/>
    <mergeCell ref="B19:B20"/>
    <mergeCell ref="A29:N29"/>
    <mergeCell ref="A12:A26"/>
    <mergeCell ref="I15:J16"/>
    <mergeCell ref="B17:B18"/>
    <mergeCell ref="B12:C12"/>
    <mergeCell ref="I12:K12"/>
    <mergeCell ref="B13:B14"/>
    <mergeCell ref="I13:J14"/>
    <mergeCell ref="B15:B16"/>
    <mergeCell ref="I18:J23"/>
    <mergeCell ref="K18:N23"/>
    <mergeCell ref="B23:B24"/>
  </mergeCells>
  <phoneticPr fontId="21" type="noConversion"/>
  <conditionalFormatting sqref="L9:M9">
    <cfRule type="cellIs" dxfId="13" priority="2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ignoredErrors>
    <ignoredError sqref="D13:E14 L15:M15" unlockedFormula="1"/>
    <ignoredError sqref="E15 D17:E17 D19 E21 D23:E23 D25:E25" formula="1" unlockedFormula="1"/>
    <ignoredError sqref="F14:F21 N14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8">
    <tabColor rgb="FFFFFF00"/>
  </sheetPr>
  <dimension ref="A1:AC86"/>
  <sheetViews>
    <sheetView showGridLines="0" zoomScale="90" zoomScaleNormal="90" workbookViewId="0">
      <pane ySplit="6" topLeftCell="A7" activePane="bottomLeft" state="frozen"/>
      <selection activeCell="O3" sqref="O3"/>
      <selection pane="bottomLeft" activeCell="A49" sqref="A49:C49"/>
    </sheetView>
  </sheetViews>
  <sheetFormatPr defaultColWidth="16.42578125" defaultRowHeight="26.25" zeroHeight="1" x14ac:dyDescent="0.4"/>
  <cols>
    <col min="1" max="1" width="29.5703125" style="102" customWidth="1"/>
    <col min="2" max="2" width="9.85546875" style="102" customWidth="1"/>
    <col min="3" max="3" width="45.28515625" style="102" customWidth="1"/>
    <col min="4" max="4" width="16.85546875" style="102" customWidth="1"/>
    <col min="5" max="5" width="5.85546875" style="102" customWidth="1"/>
    <col min="6" max="17" width="16.140625" style="102" customWidth="1"/>
    <col min="18" max="18" width="11.85546875" style="102" customWidth="1"/>
    <col min="19" max="19" width="17.5703125" style="102" customWidth="1"/>
    <col min="20" max="22" width="16.42578125" style="102" hidden="1" customWidth="1"/>
    <col min="23" max="23" width="26.7109375" style="116" hidden="1" customWidth="1"/>
    <col min="24" max="43" width="16.42578125" style="116" customWidth="1"/>
    <col min="44" max="16384" width="16.42578125" style="116"/>
  </cols>
  <sheetData>
    <row r="1" spans="1:29" s="193" customFormat="1" x14ac:dyDescent="0.25">
      <c r="A1" s="189" t="s">
        <v>169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90"/>
      <c r="T1" s="190"/>
      <c r="U1" s="190"/>
      <c r="V1" s="191"/>
      <c r="W1" s="192"/>
    </row>
    <row r="2" spans="1:29" x14ac:dyDescent="0.4">
      <c r="A2" s="332" t="str">
        <f>'Indicadores e Metas'!A2:F2</f>
        <v xml:space="preserve">CAU/UF:  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V2" s="140"/>
    </row>
    <row r="3" spans="1:29" x14ac:dyDescent="0.4">
      <c r="A3" s="407" t="s">
        <v>374</v>
      </c>
      <c r="B3" s="408"/>
      <c r="C3" s="408"/>
      <c r="D3" s="408"/>
      <c r="E3" s="408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8"/>
      <c r="V3" s="140"/>
    </row>
    <row r="4" spans="1:29" x14ac:dyDescent="0.4"/>
    <row r="5" spans="1:29" s="144" customFormat="1" ht="25.5" customHeight="1" x14ac:dyDescent="0.25">
      <c r="A5" s="298" t="s">
        <v>4</v>
      </c>
      <c r="B5" s="409" t="str">
        <f>'Quadro Geral'!B6</f>
        <v>P/A/ PE</v>
      </c>
      <c r="C5" s="405" t="s">
        <v>35</v>
      </c>
      <c r="D5" s="405" t="s">
        <v>348</v>
      </c>
      <c r="E5" s="141"/>
      <c r="F5" s="406" t="s">
        <v>1</v>
      </c>
      <c r="G5" s="406"/>
      <c r="H5" s="402" t="s">
        <v>36</v>
      </c>
      <c r="I5" s="414" t="s">
        <v>37</v>
      </c>
      <c r="J5" s="415"/>
      <c r="K5" s="415"/>
      <c r="L5" s="404" t="s">
        <v>127</v>
      </c>
      <c r="M5" s="404" t="s">
        <v>145</v>
      </c>
      <c r="N5" s="404" t="s">
        <v>38</v>
      </c>
      <c r="O5" s="404" t="s">
        <v>39</v>
      </c>
      <c r="P5" s="405" t="s">
        <v>2</v>
      </c>
      <c r="Q5" s="406" t="s">
        <v>0</v>
      </c>
      <c r="R5" s="406" t="s">
        <v>40</v>
      </c>
      <c r="S5" s="411"/>
      <c r="T5" s="142"/>
      <c r="U5" s="142"/>
      <c r="V5" s="143"/>
    </row>
    <row r="6" spans="1:29" s="144" customFormat="1" ht="42" customHeight="1" x14ac:dyDescent="0.25">
      <c r="A6" s="298"/>
      <c r="B6" s="410"/>
      <c r="C6" s="405"/>
      <c r="D6" s="405"/>
      <c r="E6" s="141"/>
      <c r="F6" s="194" t="s">
        <v>63</v>
      </c>
      <c r="G6" s="194" t="s">
        <v>41</v>
      </c>
      <c r="H6" s="403"/>
      <c r="I6" s="194" t="s">
        <v>41</v>
      </c>
      <c r="J6" s="194" t="s">
        <v>42</v>
      </c>
      <c r="K6" s="194" t="s">
        <v>43</v>
      </c>
      <c r="L6" s="404"/>
      <c r="M6" s="404"/>
      <c r="N6" s="404"/>
      <c r="O6" s="404"/>
      <c r="P6" s="405"/>
      <c r="Q6" s="406"/>
      <c r="R6" s="406"/>
      <c r="S6" s="411"/>
      <c r="T6" s="168"/>
      <c r="U6" s="168"/>
      <c r="V6" s="169" t="s">
        <v>324</v>
      </c>
      <c r="W6" s="169" t="s">
        <v>325</v>
      </c>
      <c r="X6" s="168"/>
      <c r="Y6" s="168"/>
      <c r="Z6" s="168"/>
      <c r="AA6" s="168"/>
      <c r="AB6" s="168"/>
      <c r="AC6" s="168"/>
    </row>
    <row r="7" spans="1:29" ht="48.75" customHeight="1" x14ac:dyDescent="0.4">
      <c r="A7" s="152" t="str">
        <f>'Quadro Geral'!A8</f>
        <v>Comissão de Ensino e Formação (CEF)</v>
      </c>
      <c r="B7" s="221" t="str">
        <f>'Quadro Geral'!B8</f>
        <v>A</v>
      </c>
      <c r="C7" s="153" t="str">
        <f>'Quadro Geral'!C8</f>
        <v>Manter e Desenvolver as Atividades da Comissão de Ensino e Formação</v>
      </c>
      <c r="D7" s="154">
        <f>'Quadro Geral'!I8</f>
        <v>168500</v>
      </c>
      <c r="E7" s="141"/>
      <c r="F7" s="145"/>
      <c r="G7" s="145"/>
      <c r="H7" s="145"/>
      <c r="I7" s="145">
        <v>81250</v>
      </c>
      <c r="J7" s="145">
        <v>81250</v>
      </c>
      <c r="K7" s="145">
        <v>6000</v>
      </c>
      <c r="L7" s="145"/>
      <c r="M7" s="145"/>
      <c r="N7" s="145"/>
      <c r="O7" s="155">
        <f>SUM(F7:N7)</f>
        <v>168500</v>
      </c>
      <c r="P7" s="145"/>
      <c r="Q7" s="155">
        <f>O7+P7</f>
        <v>168500</v>
      </c>
      <c r="R7" s="156">
        <f t="shared" ref="R7:R48" si="0">IFERROR(Q7/$Q$49*100,0)</f>
        <v>0.95251554550593553</v>
      </c>
      <c r="S7" s="4" t="b">
        <f>D7=Q7</f>
        <v>1</v>
      </c>
      <c r="T7" s="261">
        <f>Q7-'Quadro Geral'!I8</f>
        <v>0</v>
      </c>
      <c r="U7" s="261"/>
      <c r="V7" s="102" t="str">
        <f>'Quadro Geral'!B8</f>
        <v>A</v>
      </c>
      <c r="W7" s="102" t="str">
        <f>'Quadro Geral'!E8</f>
        <v>Influenciar as diretrizes do ensino de Arquitetura e Urbanismo e sua formação continuada</v>
      </c>
    </row>
    <row r="8" spans="1:29" ht="48.75" customHeight="1" x14ac:dyDescent="0.4">
      <c r="A8" s="152" t="str">
        <f>'Quadro Geral'!A9</f>
        <v>Comissão de Ética e Disciplina (CED)</v>
      </c>
      <c r="B8" s="221" t="str">
        <f>'Quadro Geral'!B9</f>
        <v>A</v>
      </c>
      <c r="C8" s="153" t="str">
        <f>'Quadro Geral'!C9</f>
        <v>Manter e Desenvolver as Atividades da Comissão de Ética e Disciplina</v>
      </c>
      <c r="D8" s="154">
        <f>'Quadro Geral'!I9</f>
        <v>62500</v>
      </c>
      <c r="E8" s="141"/>
      <c r="F8" s="145"/>
      <c r="G8" s="145"/>
      <c r="H8" s="145"/>
      <c r="I8" s="145">
        <v>26250</v>
      </c>
      <c r="J8" s="145">
        <v>26250</v>
      </c>
      <c r="K8" s="145">
        <v>10000</v>
      </c>
      <c r="L8" s="145"/>
      <c r="M8" s="145"/>
      <c r="N8" s="145"/>
      <c r="O8" s="155">
        <f t="shared" ref="O8:O48" si="1">SUM(F8:N8)</f>
        <v>62500</v>
      </c>
      <c r="P8" s="145"/>
      <c r="Q8" s="155">
        <f t="shared" ref="Q8:Q48" si="2">O8+P8</f>
        <v>62500</v>
      </c>
      <c r="R8" s="156">
        <f t="shared" si="0"/>
        <v>0.35330695308083665</v>
      </c>
      <c r="S8" s="4" t="b">
        <f t="shared" ref="S8:S49" si="3">D8=Q8</f>
        <v>1</v>
      </c>
      <c r="T8" s="261">
        <f>Q8-'Quadro Geral'!I9</f>
        <v>0</v>
      </c>
      <c r="U8" s="261"/>
      <c r="V8" s="102" t="str">
        <f>'Quadro Geral'!B9</f>
        <v>A</v>
      </c>
      <c r="W8" s="102" t="str">
        <f>'Quadro Geral'!E9</f>
        <v>Promover o exercício ético e qualificado da profissão</v>
      </c>
    </row>
    <row r="9" spans="1:29" ht="48.75" customHeight="1" x14ac:dyDescent="0.4">
      <c r="A9" s="152" t="str">
        <f>'Quadro Geral'!A10</f>
        <v>Comissão de Exercício Profissional (CEP)</v>
      </c>
      <c r="B9" s="221" t="str">
        <f>'Quadro Geral'!B10</f>
        <v>A</v>
      </c>
      <c r="C9" s="153" t="str">
        <f>'Quadro Geral'!C10</f>
        <v>Manter e Desenvolver as Atividades da Comissão de Exercício Profissional</v>
      </c>
      <c r="D9" s="154">
        <f>'Quadro Geral'!I10</f>
        <v>234000</v>
      </c>
      <c r="E9" s="141"/>
      <c r="F9" s="145"/>
      <c r="G9" s="145"/>
      <c r="H9" s="145"/>
      <c r="I9" s="145">
        <v>105500</v>
      </c>
      <c r="J9" s="145">
        <v>105500</v>
      </c>
      <c r="K9" s="145">
        <v>23000</v>
      </c>
      <c r="L9" s="145"/>
      <c r="M9" s="145"/>
      <c r="N9" s="145"/>
      <c r="O9" s="155">
        <f t="shared" si="1"/>
        <v>234000</v>
      </c>
      <c r="P9" s="145"/>
      <c r="Q9" s="155">
        <f t="shared" si="2"/>
        <v>234000</v>
      </c>
      <c r="R9" s="156">
        <f t="shared" si="0"/>
        <v>1.3227812323346524</v>
      </c>
      <c r="S9" s="4" t="b">
        <f t="shared" si="3"/>
        <v>1</v>
      </c>
      <c r="T9" s="261">
        <f>Q9-'Quadro Geral'!I10</f>
        <v>0</v>
      </c>
      <c r="U9" s="261"/>
      <c r="V9" s="102" t="str">
        <f>'Quadro Geral'!B10</f>
        <v>A</v>
      </c>
      <c r="W9" s="102" t="str">
        <f>'Quadro Geral'!E10</f>
        <v>Tornar a fiscalização um vetor de melhoria do exercício da Arquitetura e Urbanismo</v>
      </c>
    </row>
    <row r="10" spans="1:29" ht="48.75" customHeight="1" x14ac:dyDescent="0.4">
      <c r="A10" s="152" t="str">
        <f>'Quadro Geral'!A11</f>
        <v>Comissão de Planejamento e Finanças (CPFi)</v>
      </c>
      <c r="B10" s="221" t="str">
        <f>'Quadro Geral'!B11</f>
        <v>A</v>
      </c>
      <c r="C10" s="153" t="str">
        <f>'Quadro Geral'!C11</f>
        <v>Manter e Desenvolver as Atividades da Comissão de Planejamento e Finanças</v>
      </c>
      <c r="D10" s="154">
        <f>'Quadro Geral'!I11</f>
        <v>147500</v>
      </c>
      <c r="E10" s="141"/>
      <c r="F10" s="145"/>
      <c r="G10" s="145"/>
      <c r="H10" s="145"/>
      <c r="I10" s="145">
        <f>107500/2</f>
        <v>53750</v>
      </c>
      <c r="J10" s="145">
        <v>53750</v>
      </c>
      <c r="K10" s="145">
        <v>40000</v>
      </c>
      <c r="L10" s="145"/>
      <c r="M10" s="145"/>
      <c r="N10" s="145"/>
      <c r="O10" s="155">
        <f t="shared" si="1"/>
        <v>147500</v>
      </c>
      <c r="P10" s="145"/>
      <c r="Q10" s="155">
        <f t="shared" si="2"/>
        <v>147500</v>
      </c>
      <c r="R10" s="156">
        <f t="shared" si="0"/>
        <v>0.83380440927077448</v>
      </c>
      <c r="S10" s="4" t="b">
        <f t="shared" si="3"/>
        <v>1</v>
      </c>
      <c r="T10" s="261">
        <f>Q10-'Quadro Geral'!I11</f>
        <v>0</v>
      </c>
      <c r="U10" s="261"/>
      <c r="V10" s="102" t="str">
        <f>'Quadro Geral'!B11</f>
        <v>A</v>
      </c>
      <c r="W10" s="102" t="str">
        <f>'Quadro Geral'!E11</f>
        <v>Assegurar a sustentabilidade financeira</v>
      </c>
    </row>
    <row r="11" spans="1:29" ht="48.75" customHeight="1" x14ac:dyDescent="0.4">
      <c r="A11" s="152" t="str">
        <f>'Quadro Geral'!A12</f>
        <v>Comissão de Organização e Administração (COA)</v>
      </c>
      <c r="B11" s="221" t="str">
        <f>'Quadro Geral'!B12</f>
        <v>A</v>
      </c>
      <c r="C11" s="153" t="str">
        <f>'Quadro Geral'!C12</f>
        <v>Manter e Desenvolver as Atividades da Comissão de Organização e Administração</v>
      </c>
      <c r="D11" s="154">
        <f>'Quadro Geral'!I12</f>
        <v>117500</v>
      </c>
      <c r="E11" s="141"/>
      <c r="F11" s="145"/>
      <c r="G11" s="145"/>
      <c r="H11" s="145"/>
      <c r="I11" s="145">
        <f>107500/2</f>
        <v>53750</v>
      </c>
      <c r="J11" s="145">
        <v>53750</v>
      </c>
      <c r="K11" s="145">
        <v>10000</v>
      </c>
      <c r="L11" s="145"/>
      <c r="M11" s="145"/>
      <c r="N11" s="145"/>
      <c r="O11" s="155">
        <f t="shared" si="1"/>
        <v>117500</v>
      </c>
      <c r="P11" s="145"/>
      <c r="Q11" s="155">
        <f t="shared" si="2"/>
        <v>117500</v>
      </c>
      <c r="R11" s="156">
        <f t="shared" si="0"/>
        <v>0.66421707179197287</v>
      </c>
      <c r="S11" s="4" t="b">
        <f t="shared" si="3"/>
        <v>1</v>
      </c>
      <c r="T11" s="261">
        <f>Q11-'Quadro Geral'!I12</f>
        <v>0</v>
      </c>
      <c r="U11" s="261"/>
      <c r="V11" s="102" t="str">
        <f>'Quadro Geral'!B12</f>
        <v>A</v>
      </c>
      <c r="W11" s="102" t="str">
        <f>'Quadro Geral'!E12</f>
        <v>Aprimorar e inovar os processos e as ações</v>
      </c>
    </row>
    <row r="12" spans="1:29" ht="48.75" customHeight="1" x14ac:dyDescent="0.4">
      <c r="A12" s="152" t="str">
        <f>'Quadro Geral'!A13</f>
        <v>Comissão Especial de Política Urbana e Ambiental (CPUA)</v>
      </c>
      <c r="B12" s="221" t="str">
        <f>'Quadro Geral'!B13</f>
        <v>A</v>
      </c>
      <c r="C12" s="153" t="str">
        <f>'Quadro Geral'!C13</f>
        <v>Manter e Desenvolver as Atividades da Comissão Especial de Política Urbana e Ambiental</v>
      </c>
      <c r="D12" s="154">
        <f>'Quadro Geral'!I13</f>
        <v>78000</v>
      </c>
      <c r="E12" s="141"/>
      <c r="F12" s="145"/>
      <c r="G12" s="145"/>
      <c r="H12" s="145"/>
      <c r="I12" s="145">
        <f>57500/2</f>
        <v>28750</v>
      </c>
      <c r="J12" s="145">
        <v>28750</v>
      </c>
      <c r="K12" s="145">
        <v>20500</v>
      </c>
      <c r="L12" s="145"/>
      <c r="M12" s="145"/>
      <c r="N12" s="145"/>
      <c r="O12" s="155">
        <f t="shared" si="1"/>
        <v>78000</v>
      </c>
      <c r="P12" s="145"/>
      <c r="Q12" s="155">
        <f t="shared" si="2"/>
        <v>78000</v>
      </c>
      <c r="R12" s="156">
        <f t="shared" si="0"/>
        <v>0.44092707744488407</v>
      </c>
      <c r="S12" s="4" t="b">
        <f t="shared" si="3"/>
        <v>1</v>
      </c>
      <c r="T12" s="261">
        <f>Q12-'Quadro Geral'!I13</f>
        <v>0</v>
      </c>
      <c r="U12" s="261"/>
      <c r="V12" s="102" t="str">
        <f>'Quadro Geral'!B13</f>
        <v>A</v>
      </c>
      <c r="W12" s="102" t="str">
        <f>'Quadro Geral'!E13</f>
        <v>Garantir a participação dos Arquitetos e Urbanistas no planejamento territorial e na gestão urbana</v>
      </c>
    </row>
    <row r="13" spans="1:29" ht="48.75" customHeight="1" x14ac:dyDescent="0.4">
      <c r="A13" s="152" t="str">
        <f>'Quadro Geral'!A14</f>
        <v>Comissão Especial de Assistência Técnica para Habitação de Interesse Social (Cathis)</v>
      </c>
      <c r="B13" s="221" t="str">
        <f>'Quadro Geral'!B14</f>
        <v>A</v>
      </c>
      <c r="C13" s="153" t="str">
        <f>'Quadro Geral'!C14</f>
        <v>Manter e Desenvolver as Atividades da Comissão Especial de Assistência Técnica para Habitação de Interesse Social</v>
      </c>
      <c r="D13" s="154">
        <f>'Quadro Geral'!I14</f>
        <v>61500</v>
      </c>
      <c r="E13" s="141"/>
      <c r="F13" s="145"/>
      <c r="G13" s="145"/>
      <c r="H13" s="145"/>
      <c r="I13" s="145">
        <f>32500/2</f>
        <v>16250</v>
      </c>
      <c r="J13" s="145">
        <v>16250</v>
      </c>
      <c r="K13" s="145">
        <v>29000</v>
      </c>
      <c r="L13" s="145"/>
      <c r="M13" s="145"/>
      <c r="N13" s="145"/>
      <c r="O13" s="155">
        <f t="shared" si="1"/>
        <v>61500</v>
      </c>
      <c r="P13" s="145"/>
      <c r="Q13" s="155">
        <f t="shared" si="2"/>
        <v>61500</v>
      </c>
      <c r="R13" s="156">
        <f t="shared" si="0"/>
        <v>0.34765404183154325</v>
      </c>
      <c r="S13" s="4" t="b">
        <f t="shared" si="3"/>
        <v>1</v>
      </c>
      <c r="T13" s="261">
        <f>Q13-'Quadro Geral'!I14</f>
        <v>0</v>
      </c>
      <c r="U13" s="261"/>
      <c r="V13" s="102" t="str">
        <f>'Quadro Geral'!B14</f>
        <v>A</v>
      </c>
      <c r="W13" s="102" t="str">
        <f>'Quadro Geral'!E14</f>
        <v>Fomentar o acesso da sociedade à Arquitetura e Urbanismo</v>
      </c>
    </row>
    <row r="14" spans="1:29" ht="48.75" customHeight="1" x14ac:dyDescent="0.4">
      <c r="A14" s="152" t="str">
        <f>'Quadro Geral'!A15</f>
        <v>Comissão Especial de Patrimônio Cultural (CPC)</v>
      </c>
      <c r="B14" s="221" t="str">
        <f>'Quadro Geral'!B15</f>
        <v>A</v>
      </c>
      <c r="C14" s="153" t="str">
        <f>'Quadro Geral'!C15</f>
        <v>Manter e Desenvolver as Atividades da Comissão Especial de Patrimônio Cultural</v>
      </c>
      <c r="D14" s="154">
        <f>'Quadro Geral'!I15</f>
        <v>67500</v>
      </c>
      <c r="E14" s="141"/>
      <c r="F14" s="145"/>
      <c r="G14" s="145"/>
      <c r="H14" s="145"/>
      <c r="I14" s="145">
        <f>52500/2</f>
        <v>26250</v>
      </c>
      <c r="J14" s="145">
        <v>26250</v>
      </c>
      <c r="K14" s="145">
        <v>15000</v>
      </c>
      <c r="L14" s="145"/>
      <c r="M14" s="145"/>
      <c r="N14" s="145"/>
      <c r="O14" s="155">
        <f t="shared" si="1"/>
        <v>67500</v>
      </c>
      <c r="P14" s="145"/>
      <c r="Q14" s="155">
        <f t="shared" si="2"/>
        <v>67500</v>
      </c>
      <c r="R14" s="156">
        <f t="shared" si="0"/>
        <v>0.38157150932730355</v>
      </c>
      <c r="S14" s="4" t="b">
        <f t="shared" si="3"/>
        <v>1</v>
      </c>
      <c r="T14" s="261">
        <f>Q14-'Quadro Geral'!I15</f>
        <v>0</v>
      </c>
      <c r="U14" s="261"/>
      <c r="V14" s="102" t="str">
        <f>'Quadro Geral'!B15</f>
        <v>A</v>
      </c>
      <c r="W14" s="102" t="str">
        <f>'Quadro Geral'!E15</f>
        <v>Estimular a produção da Arquitetura e Urbanismo como política de Estado</v>
      </c>
    </row>
    <row r="15" spans="1:29" ht="48.75" customHeight="1" x14ac:dyDescent="0.4">
      <c r="A15" s="152" t="str">
        <f>'Quadro Geral'!A16</f>
        <v>Presidência</v>
      </c>
      <c r="B15" s="221" t="str">
        <f>'Quadro Geral'!B16</f>
        <v>A</v>
      </c>
      <c r="C15" s="153" t="str">
        <f>'Quadro Geral'!C16</f>
        <v>Manter e Desenvolver as Atividades da Presidência e dos Conselheiros Federais</v>
      </c>
      <c r="D15" s="154">
        <f>'Quadro Geral'!I16</f>
        <v>130000</v>
      </c>
      <c r="E15" s="141"/>
      <c r="F15" s="145"/>
      <c r="G15" s="145"/>
      <c r="H15" s="145"/>
      <c r="I15" s="145">
        <v>50000</v>
      </c>
      <c r="J15" s="145">
        <v>50000</v>
      </c>
      <c r="K15" s="145">
        <v>30000</v>
      </c>
      <c r="L15" s="145"/>
      <c r="M15" s="145"/>
      <c r="N15" s="145"/>
      <c r="O15" s="155">
        <f t="shared" si="1"/>
        <v>130000</v>
      </c>
      <c r="P15" s="145"/>
      <c r="Q15" s="155">
        <f t="shared" si="2"/>
        <v>130000</v>
      </c>
      <c r="R15" s="156">
        <f t="shared" si="0"/>
        <v>0.73487846240814014</v>
      </c>
      <c r="S15" s="4" t="b">
        <f t="shared" si="3"/>
        <v>1</v>
      </c>
      <c r="T15" s="261">
        <f>Q15-'Quadro Geral'!I16</f>
        <v>0</v>
      </c>
      <c r="U15" s="261"/>
      <c r="V15" s="102" t="str">
        <f>'Quadro Geral'!B16</f>
        <v>A</v>
      </c>
      <c r="W15" s="102" t="str">
        <f>'Quadro Geral'!E16</f>
        <v>Construir cultura organizacional adequada à estratégia</v>
      </c>
    </row>
    <row r="16" spans="1:29" ht="48.75" customHeight="1" x14ac:dyDescent="0.4">
      <c r="A16" s="152" t="str">
        <f>'Quadro Geral'!A17</f>
        <v>Presidência</v>
      </c>
      <c r="B16" s="221" t="str">
        <f>'Quadro Geral'!B17</f>
        <v>A</v>
      </c>
      <c r="C16" s="153" t="str">
        <f>'Quadro Geral'!C17</f>
        <v>Manter e Desenvolver as Atividades de Comissões Temporárias</v>
      </c>
      <c r="D16" s="154">
        <f>'Quadro Geral'!I17</f>
        <v>15000</v>
      </c>
      <c r="E16" s="141"/>
      <c r="F16" s="145"/>
      <c r="G16" s="145"/>
      <c r="H16" s="145"/>
      <c r="I16" s="145">
        <v>7500</v>
      </c>
      <c r="J16" s="145">
        <v>7500</v>
      </c>
      <c r="K16" s="145"/>
      <c r="L16" s="145"/>
      <c r="M16" s="145"/>
      <c r="N16" s="145"/>
      <c r="O16" s="155">
        <f t="shared" si="1"/>
        <v>15000</v>
      </c>
      <c r="P16" s="145"/>
      <c r="Q16" s="155">
        <f t="shared" si="2"/>
        <v>15000</v>
      </c>
      <c r="R16" s="156">
        <f t="shared" si="0"/>
        <v>8.4793668739400793E-2</v>
      </c>
      <c r="S16" s="4" t="b">
        <f t="shared" si="3"/>
        <v>1</v>
      </c>
      <c r="T16" s="261">
        <f>Q16-'Quadro Geral'!I17</f>
        <v>0</v>
      </c>
      <c r="U16" s="261"/>
      <c r="V16" s="102" t="str">
        <f>'Quadro Geral'!B17</f>
        <v>A</v>
      </c>
      <c r="W16" s="102" t="str">
        <f>'Quadro Geral'!E17</f>
        <v>Aprimorar e inovar os processos e as ações</v>
      </c>
    </row>
    <row r="17" spans="1:23" ht="48.75" customHeight="1" x14ac:dyDescent="0.4">
      <c r="A17" s="152" t="str">
        <f>'Quadro Geral'!A18</f>
        <v>Presidência</v>
      </c>
      <c r="B17" s="221" t="str">
        <f>'Quadro Geral'!B18</f>
        <v>PE</v>
      </c>
      <c r="C17" s="153" t="str">
        <f>'Quadro Geral'!C18</f>
        <v>Edital de Patrocínio modalidade Patrimônio Cultural</v>
      </c>
      <c r="D17" s="154">
        <f>'Quadro Geral'!I18</f>
        <v>350000</v>
      </c>
      <c r="E17" s="141"/>
      <c r="F17" s="145"/>
      <c r="G17" s="145"/>
      <c r="H17" s="145"/>
      <c r="I17" s="145"/>
      <c r="J17" s="145"/>
      <c r="K17" s="145"/>
      <c r="L17" s="275">
        <v>350000</v>
      </c>
      <c r="M17" s="145"/>
      <c r="N17" s="145"/>
      <c r="O17" s="155">
        <f t="shared" si="1"/>
        <v>350000</v>
      </c>
      <c r="P17" s="145"/>
      <c r="Q17" s="155">
        <f t="shared" si="2"/>
        <v>350000</v>
      </c>
      <c r="R17" s="156">
        <f t="shared" si="0"/>
        <v>1.978518937252685</v>
      </c>
      <c r="S17" s="4" t="b">
        <f t="shared" si="3"/>
        <v>1</v>
      </c>
      <c r="T17" s="261">
        <f>Q17-'Quadro Geral'!I18</f>
        <v>0</v>
      </c>
      <c r="U17" s="261"/>
      <c r="V17" s="102" t="str">
        <f>'Quadro Geral'!B18</f>
        <v>PE</v>
      </c>
      <c r="W17" s="102" t="str">
        <f>'Quadro Geral'!E18</f>
        <v>Estimular o conhecimento, o uso de processos criativos e a difusão das melhores práticas em Arquitetura e Urbanismo</v>
      </c>
    </row>
    <row r="18" spans="1:23" ht="48.75" customHeight="1" x14ac:dyDescent="0.4">
      <c r="A18" s="152" t="str">
        <f>'Quadro Geral'!A19</f>
        <v>Presidência</v>
      </c>
      <c r="B18" s="221" t="str">
        <f>'Quadro Geral'!B19</f>
        <v>PE</v>
      </c>
      <c r="C18" s="153" t="str">
        <f>'Quadro Geral'!C19</f>
        <v>Edital de Patrocínio Modalidade Política Urbana</v>
      </c>
      <c r="D18" s="154">
        <f>'Quadro Geral'!I19</f>
        <v>150000</v>
      </c>
      <c r="E18" s="141"/>
      <c r="F18" s="145"/>
      <c r="G18" s="145"/>
      <c r="H18" s="145"/>
      <c r="I18" s="145"/>
      <c r="J18" s="145"/>
      <c r="K18" s="145"/>
      <c r="L18" s="275">
        <v>150000</v>
      </c>
      <c r="M18" s="145"/>
      <c r="N18" s="145"/>
      <c r="O18" s="155">
        <f t="shared" si="1"/>
        <v>150000</v>
      </c>
      <c r="P18" s="145"/>
      <c r="Q18" s="155">
        <f t="shared" si="2"/>
        <v>150000</v>
      </c>
      <c r="R18" s="156">
        <f t="shared" si="0"/>
        <v>0.84793668739400785</v>
      </c>
      <c r="S18" s="4" t="b">
        <f t="shared" si="3"/>
        <v>1</v>
      </c>
      <c r="T18" s="261">
        <f>Q18-'Quadro Geral'!I19</f>
        <v>0</v>
      </c>
      <c r="U18" s="261"/>
      <c r="V18" s="102" t="str">
        <f>'Quadro Geral'!B19</f>
        <v>PE</v>
      </c>
      <c r="W18" s="102" t="str">
        <f>'Quadro Geral'!E19</f>
        <v>Estimular o conhecimento, o uso de processos criativos e a difusão das melhores práticas em Arquitetura e Urbanismo</v>
      </c>
    </row>
    <row r="19" spans="1:23" ht="48.75" customHeight="1" x14ac:dyDescent="0.4">
      <c r="A19" s="152" t="str">
        <f>'Quadro Geral'!A20</f>
        <v>Presidência</v>
      </c>
      <c r="B19" s="221" t="str">
        <f>'Quadro Geral'!B20</f>
        <v>PE</v>
      </c>
      <c r="C19" s="153" t="str">
        <f>'Quadro Geral'!C20</f>
        <v>Edital de Apoio Institucional</v>
      </c>
      <c r="D19" s="154">
        <f>'Quadro Geral'!I20</f>
        <v>45000</v>
      </c>
      <c r="E19" s="141"/>
      <c r="F19" s="145"/>
      <c r="G19" s="145"/>
      <c r="H19" s="145"/>
      <c r="I19" s="145"/>
      <c r="J19" s="145"/>
      <c r="K19" s="145"/>
      <c r="L19" s="275">
        <v>45000</v>
      </c>
      <c r="M19" s="145"/>
      <c r="N19" s="145"/>
      <c r="O19" s="155">
        <f t="shared" si="1"/>
        <v>45000</v>
      </c>
      <c r="P19" s="145"/>
      <c r="Q19" s="155">
        <f t="shared" si="2"/>
        <v>45000</v>
      </c>
      <c r="R19" s="156">
        <f t="shared" si="0"/>
        <v>0.25438100621820237</v>
      </c>
      <c r="S19" s="4" t="b">
        <f t="shared" si="3"/>
        <v>1</v>
      </c>
      <c r="T19" s="261">
        <f>Q19-'Quadro Geral'!I20</f>
        <v>0</v>
      </c>
      <c r="U19" s="261"/>
      <c r="V19" s="102" t="str">
        <f>'Quadro Geral'!B20</f>
        <v>PE</v>
      </c>
      <c r="W19" s="102" t="str">
        <f>'Quadro Geral'!E20</f>
        <v>Estimular o conhecimento, o uso de processos criativos e a difusão das melhores práticas em Arquitetura e Urbanismo</v>
      </c>
    </row>
    <row r="20" spans="1:23" ht="48.75" customHeight="1" x14ac:dyDescent="0.4">
      <c r="A20" s="152" t="str">
        <f>'Quadro Geral'!A21</f>
        <v>Presidência</v>
      </c>
      <c r="B20" s="221" t="str">
        <f>'Quadro Geral'!B21</f>
        <v>P</v>
      </c>
      <c r="C20" s="153" t="str">
        <f>'Quadro Geral'!C21</f>
        <v>Assistência Técnica para Habitação de Interesse Social (ATHIS)</v>
      </c>
      <c r="D20" s="154">
        <f>'Quadro Geral'!I21</f>
        <v>500000</v>
      </c>
      <c r="E20" s="141"/>
      <c r="F20" s="145"/>
      <c r="G20" s="145"/>
      <c r="H20" s="145"/>
      <c r="I20" s="145"/>
      <c r="J20" s="145"/>
      <c r="K20" s="145"/>
      <c r="L20" s="275">
        <v>500000</v>
      </c>
      <c r="M20" s="145"/>
      <c r="N20" s="145"/>
      <c r="O20" s="155">
        <f t="shared" si="1"/>
        <v>500000</v>
      </c>
      <c r="P20" s="145"/>
      <c r="Q20" s="155">
        <f t="shared" si="2"/>
        <v>500000</v>
      </c>
      <c r="R20" s="156">
        <f t="shared" si="0"/>
        <v>2.8264556246466932</v>
      </c>
      <c r="S20" s="4" t="b">
        <f t="shared" si="3"/>
        <v>1</v>
      </c>
      <c r="T20" s="261">
        <f>Q20-'Quadro Geral'!I21</f>
        <v>0</v>
      </c>
      <c r="U20" s="261"/>
      <c r="V20" s="102" t="str">
        <f>'Quadro Geral'!B21</f>
        <v>P</v>
      </c>
      <c r="W20" s="102" t="str">
        <f>'Quadro Geral'!E21</f>
        <v>Fomentar o acesso da sociedade à Arquitetura e Urbanismo</v>
      </c>
    </row>
    <row r="21" spans="1:23" ht="48.75" customHeight="1" x14ac:dyDescent="0.4">
      <c r="A21" s="152" t="str">
        <f>'Quadro Geral'!A22</f>
        <v>Presidência</v>
      </c>
      <c r="B21" s="221" t="str">
        <f>'Quadro Geral'!B22</f>
        <v>P</v>
      </c>
      <c r="C21" s="153" t="str">
        <f>'Quadro Geral'!C22</f>
        <v>Representação Institucional do CAU/MG II</v>
      </c>
      <c r="D21" s="154">
        <f>'Quadro Geral'!I22</f>
        <v>30000</v>
      </c>
      <c r="E21" s="141"/>
      <c r="F21" s="145"/>
      <c r="G21" s="145"/>
      <c r="H21" s="145"/>
      <c r="I21" s="145">
        <v>15000</v>
      </c>
      <c r="J21" s="145">
        <v>15000</v>
      </c>
      <c r="K21" s="145"/>
      <c r="L21" s="145"/>
      <c r="M21" s="145"/>
      <c r="N21" s="145"/>
      <c r="O21" s="155">
        <f t="shared" si="1"/>
        <v>30000</v>
      </c>
      <c r="P21" s="145"/>
      <c r="Q21" s="155">
        <f t="shared" si="2"/>
        <v>30000</v>
      </c>
      <c r="R21" s="156">
        <f t="shared" si="0"/>
        <v>0.16958733747880159</v>
      </c>
      <c r="S21" s="4" t="b">
        <f t="shared" si="3"/>
        <v>1</v>
      </c>
      <c r="T21" s="261">
        <f>Q21-'Quadro Geral'!I22</f>
        <v>0</v>
      </c>
      <c r="U21" s="261"/>
      <c r="V21" s="102" t="str">
        <f>'Quadro Geral'!B22</f>
        <v>P</v>
      </c>
      <c r="W21" s="102" t="str">
        <f>'Quadro Geral'!E22</f>
        <v>Estimular a produção da Arquitetura e Urbanismo como política de Estado</v>
      </c>
    </row>
    <row r="22" spans="1:23" ht="48.75" customHeight="1" x14ac:dyDescent="0.4">
      <c r="A22" s="152" t="str">
        <f>'Quadro Geral'!A23</f>
        <v>Presidência</v>
      </c>
      <c r="B22" s="221" t="str">
        <f>'Quadro Geral'!B23</f>
        <v>P</v>
      </c>
      <c r="C22" s="153" t="str">
        <f>'Quadro Geral'!C23</f>
        <v>Representação Institucional do CAU/MG I</v>
      </c>
      <c r="D22" s="154">
        <f>'Quadro Geral'!I23</f>
        <v>15000</v>
      </c>
      <c r="E22" s="141"/>
      <c r="F22" s="145"/>
      <c r="G22" s="145"/>
      <c r="H22" s="145"/>
      <c r="I22" s="145">
        <v>7500</v>
      </c>
      <c r="J22" s="145">
        <v>7500</v>
      </c>
      <c r="K22" s="145"/>
      <c r="L22" s="145"/>
      <c r="M22" s="145"/>
      <c r="N22" s="145"/>
      <c r="O22" s="155">
        <f t="shared" si="1"/>
        <v>15000</v>
      </c>
      <c r="P22" s="145"/>
      <c r="Q22" s="155">
        <f t="shared" si="2"/>
        <v>15000</v>
      </c>
      <c r="R22" s="156">
        <f t="shared" si="0"/>
        <v>8.4793668739400793E-2</v>
      </c>
      <c r="S22" s="4" t="b">
        <f t="shared" si="3"/>
        <v>1</v>
      </c>
      <c r="T22" s="261">
        <f>Q22-'Quadro Geral'!I23</f>
        <v>0</v>
      </c>
      <c r="U22" s="261"/>
      <c r="V22" s="102" t="str">
        <f>'Quadro Geral'!B23</f>
        <v>P</v>
      </c>
      <c r="W22" s="102" t="str">
        <f>'Quadro Geral'!E23</f>
        <v>Promover o exercício ético e qualificado da profissão</v>
      </c>
    </row>
    <row r="23" spans="1:23" ht="48.75" customHeight="1" x14ac:dyDescent="0.4">
      <c r="A23" s="152" t="str">
        <f>'Quadro Geral'!A24</f>
        <v>Presidência</v>
      </c>
      <c r="B23" s="221" t="str">
        <f>'Quadro Geral'!B24</f>
        <v>A</v>
      </c>
      <c r="C23" s="153" t="str">
        <f>'Quadro Geral'!C24</f>
        <v>Capacitações</v>
      </c>
      <c r="D23" s="154">
        <f>'Quadro Geral'!I24</f>
        <v>189000</v>
      </c>
      <c r="E23" s="141"/>
      <c r="F23" s="145"/>
      <c r="G23" s="145">
        <v>17500</v>
      </c>
      <c r="H23" s="145"/>
      <c r="I23" s="145">
        <v>17500</v>
      </c>
      <c r="J23" s="145">
        <v>35000</v>
      </c>
      <c r="K23" s="145">
        <v>119000</v>
      </c>
      <c r="L23" s="145"/>
      <c r="M23" s="145"/>
      <c r="N23" s="145"/>
      <c r="O23" s="155">
        <f t="shared" si="1"/>
        <v>189000</v>
      </c>
      <c r="P23" s="145"/>
      <c r="Q23" s="155">
        <f t="shared" si="2"/>
        <v>189000</v>
      </c>
      <c r="R23" s="156">
        <f t="shared" si="0"/>
        <v>1.06840022611645</v>
      </c>
      <c r="S23" s="4" t="b">
        <f t="shared" si="3"/>
        <v>1</v>
      </c>
      <c r="T23" s="261">
        <f>Q23-'Quadro Geral'!I24</f>
        <v>0</v>
      </c>
      <c r="U23" s="261"/>
      <c r="V23" s="102" t="str">
        <f>'Quadro Geral'!B24</f>
        <v>A</v>
      </c>
      <c r="W23" s="102" t="str">
        <f>'Quadro Geral'!E24</f>
        <v>Desenvolver competências de dirigentes e colaboradores</v>
      </c>
    </row>
    <row r="24" spans="1:23" ht="48.75" customHeight="1" x14ac:dyDescent="0.4">
      <c r="A24" s="152" t="str">
        <f>'Quadro Geral'!A25</f>
        <v>Presidência</v>
      </c>
      <c r="B24" s="221" t="str">
        <f>'Quadro Geral'!B25</f>
        <v>A</v>
      </c>
      <c r="C24" s="153" t="str">
        <f>'Quadro Geral'!C25</f>
        <v>Manter e Desenvolver as Atividades da Ouvidoria</v>
      </c>
      <c r="D24" s="154">
        <f>'Quadro Geral'!I25</f>
        <v>155526.01999999999</v>
      </c>
      <c r="E24" s="141"/>
      <c r="F24" s="277">
        <f>ROUND(148026.024696,2)</f>
        <v>148026.01999999999</v>
      </c>
      <c r="G24" s="145">
        <f>7500/2</f>
        <v>3750</v>
      </c>
      <c r="H24" s="145"/>
      <c r="I24" s="145"/>
      <c r="J24" s="145">
        <v>3750</v>
      </c>
      <c r="K24" s="145"/>
      <c r="L24" s="145"/>
      <c r="M24" s="145"/>
      <c r="N24" s="145"/>
      <c r="O24" s="155">
        <f t="shared" si="1"/>
        <v>155526.01999999999</v>
      </c>
      <c r="P24" s="145"/>
      <c r="Q24" s="155">
        <f t="shared" si="2"/>
        <v>155526.01999999999</v>
      </c>
      <c r="R24" s="156">
        <f t="shared" si="0"/>
        <v>0.87917478801582805</v>
      </c>
      <c r="S24" s="4" t="b">
        <f t="shared" si="3"/>
        <v>1</v>
      </c>
      <c r="T24" s="261">
        <f>Q24-'Quadro Geral'!I25</f>
        <v>0</v>
      </c>
      <c r="U24" s="261">
        <f>'Quadro Geral'!I25</f>
        <v>155526.01999999999</v>
      </c>
      <c r="V24" s="102" t="str">
        <f>'Quadro Geral'!B25</f>
        <v>A</v>
      </c>
      <c r="W24" s="102" t="str">
        <f>'Quadro Geral'!E25</f>
        <v>Assegurar a eficácia no atendimento e no relacionamento com os Arquitetos e Urbanistas e a Sociedade</v>
      </c>
    </row>
    <row r="25" spans="1:23" ht="48.75" customHeight="1" x14ac:dyDescent="0.4">
      <c r="A25" s="152" t="str">
        <f>'Quadro Geral'!A26</f>
        <v>Assessoria de Comunicação (Ascom)</v>
      </c>
      <c r="B25" s="221" t="str">
        <f>'Quadro Geral'!B26</f>
        <v>A</v>
      </c>
      <c r="C25" s="153" t="str">
        <f>'Quadro Geral'!C26</f>
        <v xml:space="preserve"> Manter e Desenvolver as Atividades da Assessoria de Comunicação</v>
      </c>
      <c r="D25" s="154">
        <f>'Quadro Geral'!I26</f>
        <v>826930.67999999993</v>
      </c>
      <c r="E25" s="141"/>
      <c r="F25" s="277">
        <f>ROUND(151930.683155556,2)</f>
        <v>151930.68</v>
      </c>
      <c r="G25" s="145">
        <v>5000</v>
      </c>
      <c r="H25" s="145"/>
      <c r="I25" s="145"/>
      <c r="J25" s="145">
        <v>5000</v>
      </c>
      <c r="K25" s="145">
        <v>665000</v>
      </c>
      <c r="L25" s="145"/>
      <c r="M25" s="145"/>
      <c r="N25" s="145"/>
      <c r="O25" s="155">
        <f t="shared" si="1"/>
        <v>826930.67999999993</v>
      </c>
      <c r="P25" s="145"/>
      <c r="Q25" s="155">
        <f t="shared" si="2"/>
        <v>826930.67999999993</v>
      </c>
      <c r="R25" s="156">
        <f t="shared" si="0"/>
        <v>4.6745657433578289</v>
      </c>
      <c r="S25" s="4" t="b">
        <f t="shared" si="3"/>
        <v>1</v>
      </c>
      <c r="T25" s="261">
        <f>Q25-'Quadro Geral'!I26</f>
        <v>0</v>
      </c>
      <c r="U25" s="261">
        <f>'Quadro Geral'!I26</f>
        <v>826930.67999999993</v>
      </c>
      <c r="V25" s="102" t="str">
        <f>'Quadro Geral'!B26</f>
        <v>A</v>
      </c>
      <c r="W25" s="102" t="str">
        <f>'Quadro Geral'!E26</f>
        <v>Assegurar a eficácia no relacionamento e comunicação com a sociedade</v>
      </c>
    </row>
    <row r="26" spans="1:23" ht="48.75" customHeight="1" x14ac:dyDescent="0.4">
      <c r="A26" s="152" t="str">
        <f>'Quadro Geral'!A27</f>
        <v>Gerência Geral (Gergel)</v>
      </c>
      <c r="B26" s="221" t="str">
        <f>'Quadro Geral'!B27</f>
        <v>A</v>
      </c>
      <c r="C26" s="153" t="str">
        <f>'Quadro Geral'!C27</f>
        <v xml:space="preserve">Manter e Desenvolver as Atividades da Assessoria de Eventos </v>
      </c>
      <c r="D26" s="154">
        <f>'Quadro Geral'!I27</f>
        <v>308641.88</v>
      </c>
      <c r="E26" s="141"/>
      <c r="F26" s="277">
        <f>ROUND(153641.883155556,2)</f>
        <v>153641.88</v>
      </c>
      <c r="G26" s="145">
        <v>10000</v>
      </c>
      <c r="H26" s="145"/>
      <c r="I26" s="145">
        <v>10000</v>
      </c>
      <c r="J26" s="145">
        <v>10000</v>
      </c>
      <c r="K26" s="145">
        <v>125000</v>
      </c>
      <c r="L26" s="145"/>
      <c r="M26" s="145"/>
      <c r="N26" s="145"/>
      <c r="O26" s="155">
        <f t="shared" si="1"/>
        <v>308641.88</v>
      </c>
      <c r="P26" s="145"/>
      <c r="Q26" s="155">
        <f t="shared" si="2"/>
        <v>308641.88</v>
      </c>
      <c r="R26" s="156">
        <f t="shared" si="0"/>
        <v>1.7447251554550594</v>
      </c>
      <c r="S26" s="4" t="b">
        <f t="shared" si="3"/>
        <v>1</v>
      </c>
      <c r="T26" s="261">
        <f>Q26-'Quadro Geral'!I27</f>
        <v>0</v>
      </c>
      <c r="U26" s="261">
        <f>'Quadro Geral'!I27</f>
        <v>308641.88</v>
      </c>
      <c r="V26" s="102" t="str">
        <f>'Quadro Geral'!B27</f>
        <v>A</v>
      </c>
      <c r="W26" s="102" t="str">
        <f>'Quadro Geral'!E27</f>
        <v>Estimular o conhecimento, o uso de processos criativos e a difusão das melhores práticas em Arquitetura e Urbanismo</v>
      </c>
    </row>
    <row r="27" spans="1:23" ht="48.75" customHeight="1" x14ac:dyDescent="0.4">
      <c r="A27" s="152" t="str">
        <f>'Quadro Geral'!A28</f>
        <v>Gerência Geral (Gergel)</v>
      </c>
      <c r="B27" s="221" t="str">
        <f>'Quadro Geral'!B28</f>
        <v>A</v>
      </c>
      <c r="C27" s="153" t="str">
        <f>'Quadro Geral'!C28</f>
        <v xml:space="preserve"> Manter e Desenvolver as Atividades da Gerência Geral</v>
      </c>
      <c r="D27" s="154">
        <f>'Quadro Geral'!I28</f>
        <v>1874803.62</v>
      </c>
      <c r="E27" s="141"/>
      <c r="F27" s="277">
        <f>ROUND(504803.618573333,2)</f>
        <v>504803.62</v>
      </c>
      <c r="G27" s="145">
        <v>10000</v>
      </c>
      <c r="H27" s="145"/>
      <c r="I27" s="145"/>
      <c r="J27" s="145">
        <v>10000</v>
      </c>
      <c r="K27" s="145">
        <v>50000</v>
      </c>
      <c r="L27" s="145"/>
      <c r="M27" s="145"/>
      <c r="N27" s="145"/>
      <c r="O27" s="155">
        <f t="shared" si="1"/>
        <v>574803.62</v>
      </c>
      <c r="P27" s="275">
        <v>1300000</v>
      </c>
      <c r="Q27" s="155">
        <f t="shared" si="2"/>
        <v>1874803.62</v>
      </c>
      <c r="R27" s="156">
        <f t="shared" si="0"/>
        <v>10.598098473713963</v>
      </c>
      <c r="S27" s="4" t="b">
        <f t="shared" si="3"/>
        <v>1</v>
      </c>
      <c r="T27" s="261">
        <f>Q27-'Quadro Geral'!I28</f>
        <v>0</v>
      </c>
      <c r="U27" s="261">
        <f>'Quadro Geral'!I28</f>
        <v>1874803.62</v>
      </c>
      <c r="V27" s="102" t="str">
        <f>'Quadro Geral'!B28</f>
        <v>A</v>
      </c>
      <c r="W27" s="102" t="str">
        <f>'Quadro Geral'!E28</f>
        <v>Construir cultura organizacional adequada à estratégia</v>
      </c>
    </row>
    <row r="28" spans="1:23" ht="48.75" customHeight="1" x14ac:dyDescent="0.4">
      <c r="A28" s="152" t="str">
        <f>'Quadro Geral'!A29</f>
        <v>Gerência Geral (Gergel)</v>
      </c>
      <c r="B28" s="221" t="str">
        <f>'Quadro Geral'!B29</f>
        <v>P</v>
      </c>
      <c r="C28" s="153" t="str">
        <f>'Quadro Geral'!C29</f>
        <v>Mudança e adequações da nova sede e escritórios descentralizados do CAU/MG</v>
      </c>
      <c r="D28" s="154">
        <f>'Quadro Geral'!I29</f>
        <v>575000</v>
      </c>
      <c r="E28" s="141"/>
      <c r="F28" s="277"/>
      <c r="G28" s="145">
        <v>7500</v>
      </c>
      <c r="H28" s="145"/>
      <c r="I28" s="145"/>
      <c r="J28" s="145">
        <v>7500</v>
      </c>
      <c r="K28" s="145">
        <v>60000</v>
      </c>
      <c r="L28" s="145"/>
      <c r="M28" s="145"/>
      <c r="N28" s="145"/>
      <c r="O28" s="155">
        <f t="shared" si="1"/>
        <v>75000</v>
      </c>
      <c r="P28" s="275">
        <v>500000</v>
      </c>
      <c r="Q28" s="155">
        <f t="shared" si="2"/>
        <v>575000</v>
      </c>
      <c r="R28" s="156">
        <f t="shared" si="0"/>
        <v>3.2504239683436973</v>
      </c>
      <c r="S28" s="4" t="b">
        <f t="shared" si="3"/>
        <v>1</v>
      </c>
      <c r="T28" s="261">
        <f>Q28-'Quadro Geral'!I29</f>
        <v>0</v>
      </c>
      <c r="U28" s="261"/>
      <c r="V28" s="102" t="str">
        <f>'Quadro Geral'!B29</f>
        <v>P</v>
      </c>
      <c r="W28" s="102" t="str">
        <f>'Quadro Geral'!E29</f>
        <v>Ter sistemas de informação e infraestrutura que viabilizem a gestão e o atendimento dos arquitetos e urbanistas e a sociedade</v>
      </c>
    </row>
    <row r="29" spans="1:23" ht="48.75" customHeight="1" x14ac:dyDescent="0.4">
      <c r="A29" s="152" t="str">
        <f>'Quadro Geral'!A30</f>
        <v>Secretaria Geral</v>
      </c>
      <c r="B29" s="221" t="str">
        <f>'Quadro Geral'!B30</f>
        <v>A</v>
      </c>
      <c r="C29" s="153" t="str">
        <f>'Quadro Geral'!C30</f>
        <v xml:space="preserve"> Manter e Desenvolver as Atividades da Secretaria Geral</v>
      </c>
      <c r="D29" s="154">
        <f>'Quadro Geral'!I30</f>
        <v>738776.92</v>
      </c>
      <c r="E29" s="141"/>
      <c r="F29" s="277">
        <f>ROUND(548776.923775111,2)</f>
        <v>548776.92000000004</v>
      </c>
      <c r="G29" s="145">
        <v>10000</v>
      </c>
      <c r="H29" s="145"/>
      <c r="I29" s="145"/>
      <c r="J29" s="145">
        <v>10000</v>
      </c>
      <c r="K29" s="145">
        <v>170000</v>
      </c>
      <c r="L29" s="145"/>
      <c r="M29" s="145"/>
      <c r="N29" s="145"/>
      <c r="O29" s="155">
        <f t="shared" si="1"/>
        <v>738776.92</v>
      </c>
      <c r="P29" s="145"/>
      <c r="Q29" s="155">
        <f t="shared" si="2"/>
        <v>738776.92</v>
      </c>
      <c r="R29" s="156">
        <f t="shared" si="0"/>
        <v>4.17624036178632</v>
      </c>
      <c r="S29" s="4" t="b">
        <f t="shared" si="3"/>
        <v>1</v>
      </c>
      <c r="T29" s="261">
        <f>Q29-'Quadro Geral'!I30</f>
        <v>0</v>
      </c>
      <c r="U29" s="261">
        <f>'Quadro Geral'!I30</f>
        <v>738776.92</v>
      </c>
      <c r="V29" s="102" t="str">
        <f>'Quadro Geral'!B30</f>
        <v>A</v>
      </c>
      <c r="W29" s="102" t="str">
        <f>'Quadro Geral'!E30</f>
        <v>Aprimorar e inovar os processos e as ações</v>
      </c>
    </row>
    <row r="30" spans="1:23" ht="48.75" customHeight="1" x14ac:dyDescent="0.4">
      <c r="A30" s="152" t="str">
        <f>'Quadro Geral'!A31</f>
        <v>Gerência Técnica  de Fiscalização (Gertef) - Coordenação Fiscalização</v>
      </c>
      <c r="B30" s="221" t="str">
        <f>'Quadro Geral'!B31</f>
        <v>A</v>
      </c>
      <c r="C30" s="153" t="str">
        <f>'Quadro Geral'!C31</f>
        <v>Manter e Desenvolver as Atividades de Coordenação da Fiscalização da GERTEF</v>
      </c>
      <c r="D30" s="154">
        <f>'Quadro Geral'!I31</f>
        <v>1696891.75</v>
      </c>
      <c r="E30" s="141"/>
      <c r="F30" s="277">
        <f>ROUND(1596891.74671408,2)</f>
        <v>1596891.75</v>
      </c>
      <c r="G30" s="145">
        <v>5000</v>
      </c>
      <c r="H30" s="145"/>
      <c r="I30" s="145"/>
      <c r="J30" s="145">
        <v>5000</v>
      </c>
      <c r="K30" s="145">
        <v>90000</v>
      </c>
      <c r="L30" s="145"/>
      <c r="M30" s="145"/>
      <c r="N30" s="145"/>
      <c r="O30" s="155">
        <f t="shared" si="1"/>
        <v>1696891.75</v>
      </c>
      <c r="P30" s="145"/>
      <c r="Q30" s="155">
        <f t="shared" si="2"/>
        <v>1696891.75</v>
      </c>
      <c r="R30" s="156">
        <f t="shared" si="0"/>
        <v>9.5923784624081403</v>
      </c>
      <c r="S30" s="4" t="b">
        <f t="shared" si="3"/>
        <v>1</v>
      </c>
      <c r="T30" s="261">
        <f>Q30-'Quadro Geral'!I31</f>
        <v>0</v>
      </c>
      <c r="U30" s="261">
        <f>'Quadro Geral'!I31</f>
        <v>1696891.75</v>
      </c>
      <c r="V30" s="102" t="str">
        <f>'Quadro Geral'!B31</f>
        <v>A</v>
      </c>
      <c r="W30" s="102" t="str">
        <f>'Quadro Geral'!E31</f>
        <v>Tornar a fiscalização um vetor de melhoria do exercício da Arquitetura e Urbanismo</v>
      </c>
    </row>
    <row r="31" spans="1:23" ht="48.75" customHeight="1" x14ac:dyDescent="0.4">
      <c r="A31" s="152" t="str">
        <f>'Quadro Geral'!A32</f>
        <v>Gerência Técnica  de Fiscalização (Gertef) - Rotas</v>
      </c>
      <c r="B31" s="221" t="str">
        <f>'Quadro Geral'!B32</f>
        <v>A</v>
      </c>
      <c r="C31" s="153" t="str">
        <f>'Quadro Geral'!C32</f>
        <v>Fiscalização Itinerante / Rotas</v>
      </c>
      <c r="D31" s="154">
        <f>'Quadro Geral'!I32</f>
        <v>387000</v>
      </c>
      <c r="E31" s="141"/>
      <c r="F31" s="277"/>
      <c r="G31" s="145">
        <v>12000</v>
      </c>
      <c r="H31" s="145"/>
      <c r="I31" s="145"/>
      <c r="J31" s="145"/>
      <c r="K31" s="145">
        <f>387000-G31</f>
        <v>375000</v>
      </c>
      <c r="L31" s="145"/>
      <c r="M31" s="145"/>
      <c r="N31" s="145"/>
      <c r="O31" s="155">
        <f t="shared" si="1"/>
        <v>387000</v>
      </c>
      <c r="P31" s="145"/>
      <c r="Q31" s="155">
        <f t="shared" si="2"/>
        <v>387000</v>
      </c>
      <c r="R31" s="156">
        <f t="shared" si="0"/>
        <v>2.1876766534765406</v>
      </c>
      <c r="S31" s="4" t="b">
        <f t="shared" si="3"/>
        <v>1</v>
      </c>
      <c r="T31" s="261">
        <f>Q31-'Quadro Geral'!I32</f>
        <v>0</v>
      </c>
      <c r="U31" s="261"/>
      <c r="V31" s="102" t="str">
        <f>'Quadro Geral'!B32</f>
        <v>A</v>
      </c>
      <c r="W31" s="102" t="str">
        <f>'Quadro Geral'!E32</f>
        <v>Tornar a fiscalização um vetor de melhoria do exercício da Arquitetura e Urbanismo</v>
      </c>
    </row>
    <row r="32" spans="1:23" ht="48.75" customHeight="1" x14ac:dyDescent="0.4">
      <c r="A32" s="152" t="str">
        <f>'Quadro Geral'!A33</f>
        <v>Gerência Técnica e Fiscalização (Gertef) -  Coordenação de Fiscalização</v>
      </c>
      <c r="B32" s="221" t="str">
        <f>'Quadro Geral'!B33</f>
        <v>A</v>
      </c>
      <c r="C32" s="153" t="str">
        <f>'Quadro Geral'!C33</f>
        <v>Centro de Serviços Compartilhados (CSC) - Fiscalização</v>
      </c>
      <c r="D32" s="154">
        <f>'Quadro Geral'!I33</f>
        <v>976047.04</v>
      </c>
      <c r="E32" s="141"/>
      <c r="F32" s="277"/>
      <c r="G32" s="145"/>
      <c r="H32" s="145"/>
      <c r="I32" s="145"/>
      <c r="J32" s="145"/>
      <c r="K32" s="145"/>
      <c r="L32" s="275">
        <v>976047.04</v>
      </c>
      <c r="M32" s="145"/>
      <c r="N32" s="145"/>
      <c r="O32" s="155">
        <f t="shared" si="1"/>
        <v>976047.04</v>
      </c>
      <c r="P32" s="145"/>
      <c r="Q32" s="155">
        <f t="shared" si="2"/>
        <v>976047.04</v>
      </c>
      <c r="R32" s="156">
        <f t="shared" si="0"/>
        <v>5.5175072922555124</v>
      </c>
      <c r="S32" s="4" t="b">
        <f t="shared" si="3"/>
        <v>1</v>
      </c>
      <c r="T32" s="261">
        <f>Q32-'Quadro Geral'!I33</f>
        <v>0</v>
      </c>
      <c r="U32" s="261"/>
      <c r="V32" s="102" t="str">
        <f>'Quadro Geral'!B33</f>
        <v>A</v>
      </c>
      <c r="W32" s="102" t="str">
        <f>'Quadro Geral'!E33</f>
        <v>Tornar a fiscalização um vetor de melhoria do exercício da Arquitetura e Urbanismo</v>
      </c>
    </row>
    <row r="33" spans="1:23" ht="48.75" customHeight="1" x14ac:dyDescent="0.4">
      <c r="A33" s="152" t="str">
        <f>'Quadro Geral'!A34</f>
        <v>Gerência Técnica  de Fiscalização (Gertef) - Coordenação Técnica</v>
      </c>
      <c r="B33" s="221" t="str">
        <f>'Quadro Geral'!B34</f>
        <v>A</v>
      </c>
      <c r="C33" s="153" t="str">
        <f>'Quadro Geral'!C34</f>
        <v>Manter e Desenvolver as Atividades de Coordenação Técnica da GERTEF</v>
      </c>
      <c r="D33" s="154">
        <f>'Quadro Geral'!I34</f>
        <v>2491321.2599999998</v>
      </c>
      <c r="E33" s="141"/>
      <c r="F33" s="277">
        <f>ROUND(2206321.25682372,2)</f>
        <v>2206321.2599999998</v>
      </c>
      <c r="G33" s="145">
        <v>5000</v>
      </c>
      <c r="H33" s="145"/>
      <c r="I33" s="145"/>
      <c r="J33" s="145">
        <v>10000</v>
      </c>
      <c r="K33" s="145">
        <v>250000</v>
      </c>
      <c r="L33" s="273">
        <v>20000</v>
      </c>
      <c r="M33" s="145"/>
      <c r="N33" s="145"/>
      <c r="O33" s="155">
        <f t="shared" si="1"/>
        <v>2491321.2599999998</v>
      </c>
      <c r="P33" s="145"/>
      <c r="Q33" s="155">
        <f t="shared" si="2"/>
        <v>2491321.2599999998</v>
      </c>
      <c r="R33" s="156">
        <f t="shared" si="0"/>
        <v>14.083217976257773</v>
      </c>
      <c r="S33" s="4" t="b">
        <f t="shared" si="3"/>
        <v>1</v>
      </c>
      <c r="T33" s="261">
        <f>Q33-'Quadro Geral'!I34</f>
        <v>0</v>
      </c>
      <c r="U33" s="261">
        <f>'Quadro Geral'!I34</f>
        <v>2491321.2599999998</v>
      </c>
      <c r="V33" s="102" t="str">
        <f>'Quadro Geral'!B34</f>
        <v>A</v>
      </c>
      <c r="W33" s="102" t="str">
        <f>'Quadro Geral'!E34</f>
        <v>Assegurar a eficácia no atendimento e no relacionamento com os Arquitetos e Urbanistas e a Sociedade</v>
      </c>
    </row>
    <row r="34" spans="1:23" ht="48.75" customHeight="1" x14ac:dyDescent="0.4">
      <c r="A34" s="152" t="str">
        <f>'Quadro Geral'!A35</f>
        <v>Gerência Técnica e Fiscalização (Gertef) -  Coordenação Técnica</v>
      </c>
      <c r="B34" s="221" t="str">
        <f>'Quadro Geral'!B35</f>
        <v>A</v>
      </c>
      <c r="C34" s="153" t="str">
        <f>'Quadro Geral'!C35</f>
        <v>Centro de Serviços Compartilhados (CSC) - Atendimento</v>
      </c>
      <c r="D34" s="154">
        <f>'Quadro Geral'!I35</f>
        <v>132355.51999999999</v>
      </c>
      <c r="E34" s="141"/>
      <c r="F34" s="277"/>
      <c r="G34" s="145"/>
      <c r="H34" s="145"/>
      <c r="I34" s="145"/>
      <c r="J34" s="145"/>
      <c r="K34" s="145"/>
      <c r="L34" s="275">
        <v>132355.51999999999</v>
      </c>
      <c r="M34" s="145"/>
      <c r="N34" s="145"/>
      <c r="O34" s="155">
        <f t="shared" si="1"/>
        <v>132355.51999999999</v>
      </c>
      <c r="P34" s="145"/>
      <c r="Q34" s="155">
        <f t="shared" si="2"/>
        <v>132355.51999999999</v>
      </c>
      <c r="R34" s="156">
        <f t="shared" si="0"/>
        <v>0.74819400791407564</v>
      </c>
      <c r="S34" s="4" t="b">
        <f t="shared" si="3"/>
        <v>1</v>
      </c>
      <c r="T34" s="261">
        <f>Q34-'Quadro Geral'!I35</f>
        <v>0</v>
      </c>
      <c r="U34" s="261"/>
      <c r="V34" s="102" t="str">
        <f>'Quadro Geral'!B35</f>
        <v>A</v>
      </c>
      <c r="W34" s="102" t="str">
        <f>'Quadro Geral'!E35</f>
        <v>Assegurar a eficácia no atendimento e no relacionamento com os Arquitetos e Urbanistas e a Sociedade</v>
      </c>
    </row>
    <row r="35" spans="1:23" ht="48.75" customHeight="1" x14ac:dyDescent="0.4">
      <c r="A35" s="152" t="str">
        <f>'Quadro Geral'!A36</f>
        <v>Gerência Jurídica (Gerjur)</v>
      </c>
      <c r="B35" s="221" t="str">
        <f>'Quadro Geral'!B36</f>
        <v>A</v>
      </c>
      <c r="C35" s="153" t="str">
        <f>'Quadro Geral'!C36</f>
        <v>Manter e Desenvolver as Atividades da Gerência Jurídica</v>
      </c>
      <c r="D35" s="154">
        <f>'Quadro Geral'!I36</f>
        <v>910050.19</v>
      </c>
      <c r="E35" s="141"/>
      <c r="F35" s="277">
        <f>ROUND(832550.190297778,2)</f>
        <v>832550.19</v>
      </c>
      <c r="G35" s="145">
        <v>7500</v>
      </c>
      <c r="H35" s="145"/>
      <c r="I35" s="145"/>
      <c r="J35" s="145">
        <v>10000</v>
      </c>
      <c r="K35" s="145">
        <v>50000</v>
      </c>
      <c r="L35" s="145"/>
      <c r="M35" s="145"/>
      <c r="N35" s="145">
        <v>10000</v>
      </c>
      <c r="O35" s="155">
        <f t="shared" si="1"/>
        <v>910050.19</v>
      </c>
      <c r="P35" s="145"/>
      <c r="Q35" s="155">
        <f t="shared" si="2"/>
        <v>910050.19</v>
      </c>
      <c r="R35" s="156">
        <f t="shared" si="0"/>
        <v>5.144432956472583</v>
      </c>
      <c r="S35" s="4" t="b">
        <f t="shared" si="3"/>
        <v>1</v>
      </c>
      <c r="T35" s="261">
        <f>Q35-'Quadro Geral'!I36</f>
        <v>0</v>
      </c>
      <c r="U35" s="261">
        <f>'Quadro Geral'!I36</f>
        <v>910050.19</v>
      </c>
      <c r="V35" s="102" t="str">
        <f>'Quadro Geral'!B36</f>
        <v>A</v>
      </c>
      <c r="W35" s="102" t="str">
        <f>'Quadro Geral'!E36</f>
        <v>Aprimorar e inovar os processos e as ações</v>
      </c>
    </row>
    <row r="36" spans="1:23" ht="48.75" customHeight="1" x14ac:dyDescent="0.4">
      <c r="A36" s="152" t="str">
        <f>'Quadro Geral'!A37</f>
        <v>Gerência Administrativa e Financeira (GAF)</v>
      </c>
      <c r="B36" s="221" t="str">
        <f>'Quadro Geral'!B37</f>
        <v>A</v>
      </c>
      <c r="C36" s="153" t="str">
        <f>'Quadro Geral'!C37</f>
        <v>Fundo de Apoio aos CAU/UF</v>
      </c>
      <c r="D36" s="154">
        <f>'Quadro Geral'!I37</f>
        <v>177637.15</v>
      </c>
      <c r="E36" s="141"/>
      <c r="F36" s="277"/>
      <c r="G36" s="145"/>
      <c r="H36" s="145"/>
      <c r="I36" s="145"/>
      <c r="J36" s="145"/>
      <c r="K36" s="145"/>
      <c r="L36" s="275">
        <v>177637.15</v>
      </c>
      <c r="M36" s="145"/>
      <c r="N36" s="145"/>
      <c r="O36" s="155">
        <f t="shared" si="1"/>
        <v>177637.15</v>
      </c>
      <c r="P36" s="145"/>
      <c r="Q36" s="155">
        <f t="shared" si="2"/>
        <v>177637.15</v>
      </c>
      <c r="R36" s="156">
        <f t="shared" si="0"/>
        <v>1.0041670435274166</v>
      </c>
      <c r="S36" s="4" t="b">
        <f t="shared" si="3"/>
        <v>1</v>
      </c>
      <c r="T36" s="261">
        <f>Q36-'Quadro Geral'!I37</f>
        <v>0</v>
      </c>
      <c r="U36" s="261"/>
      <c r="V36" s="102" t="str">
        <f>'Quadro Geral'!B37</f>
        <v>A</v>
      </c>
      <c r="W36" s="102" t="str">
        <f>'Quadro Geral'!E37</f>
        <v>Assegurar a sustentabilidade financeira</v>
      </c>
    </row>
    <row r="37" spans="1:23" ht="48.75" customHeight="1" x14ac:dyDescent="0.4">
      <c r="A37" s="152" t="str">
        <f>'Quadro Geral'!A38</f>
        <v>Gerência Administrativa e Financeira (GAF)</v>
      </c>
      <c r="B37" s="221" t="str">
        <f>'Quadro Geral'!B38</f>
        <v>A</v>
      </c>
      <c r="C37" s="153" t="str">
        <f>'Quadro Geral'!C38</f>
        <v>Reserva de Contingência</v>
      </c>
      <c r="D37" s="154">
        <f>'Quadro Geral'!I38</f>
        <v>40000</v>
      </c>
      <c r="E37" s="141"/>
      <c r="F37" s="277"/>
      <c r="G37" s="145"/>
      <c r="H37" s="145"/>
      <c r="I37" s="145"/>
      <c r="J37" s="145"/>
      <c r="K37" s="145"/>
      <c r="L37" s="145"/>
      <c r="M37" s="272">
        <v>40000</v>
      </c>
      <c r="N37" s="145"/>
      <c r="O37" s="155">
        <f t="shared" si="1"/>
        <v>40000</v>
      </c>
      <c r="P37" s="145"/>
      <c r="Q37" s="155">
        <f t="shared" si="2"/>
        <v>40000</v>
      </c>
      <c r="R37" s="156">
        <f t="shared" si="0"/>
        <v>0.22611644997173544</v>
      </c>
      <c r="S37" s="4" t="b">
        <f t="shared" si="3"/>
        <v>1</v>
      </c>
      <c r="T37" s="261">
        <f>Q37-'Quadro Geral'!I38</f>
        <v>0</v>
      </c>
      <c r="U37" s="261"/>
      <c r="V37" s="102" t="str">
        <f>'Quadro Geral'!B38</f>
        <v>A</v>
      </c>
      <c r="W37" s="102" t="str">
        <f>'Quadro Geral'!E38</f>
        <v>Assegurar a sustentabilidade financeira</v>
      </c>
    </row>
    <row r="38" spans="1:23" ht="48.75" customHeight="1" x14ac:dyDescent="0.4">
      <c r="A38" s="152" t="str">
        <f>'Quadro Geral'!A39</f>
        <v>Gerência Administrativa e Financeira (GAF)</v>
      </c>
      <c r="B38" s="221" t="str">
        <f>'Quadro Geral'!B39</f>
        <v>A</v>
      </c>
      <c r="C38" s="153" t="str">
        <f>'Quadro Geral'!C39</f>
        <v>Manter e Desenvolver as Atividades da Gerência Administrativa e Financeira</v>
      </c>
      <c r="D38" s="154">
        <f>'Quadro Geral'!I39</f>
        <v>2575029.5700000003</v>
      </c>
      <c r="E38" s="141"/>
      <c r="F38" s="277">
        <f>ROUND(1485593.61991911,2)</f>
        <v>1485593.62</v>
      </c>
      <c r="G38" s="145">
        <v>20000</v>
      </c>
      <c r="H38" s="145">
        <v>50000</v>
      </c>
      <c r="I38" s="145"/>
      <c r="J38" s="145">
        <v>40000</v>
      </c>
      <c r="K38" s="145">
        <f>1039435.95-J38-G38-300000</f>
        <v>679435.95</v>
      </c>
      <c r="L38" s="145"/>
      <c r="M38" s="145"/>
      <c r="N38" s="145">
        <v>300000</v>
      </c>
      <c r="O38" s="155">
        <f t="shared" si="1"/>
        <v>2575029.5700000003</v>
      </c>
      <c r="P38" s="145"/>
      <c r="Q38" s="155">
        <f t="shared" si="2"/>
        <v>2575029.5700000003</v>
      </c>
      <c r="R38" s="156">
        <f t="shared" si="0"/>
        <v>14.556413623516113</v>
      </c>
      <c r="S38" s="4" t="b">
        <f t="shared" si="3"/>
        <v>1</v>
      </c>
      <c r="T38" s="261">
        <f>Q38-'Quadro Geral'!I39</f>
        <v>0</v>
      </c>
      <c r="U38" s="261">
        <f>'Quadro Geral'!I39</f>
        <v>2575029.5700000003</v>
      </c>
      <c r="V38" s="102" t="str">
        <f>'Quadro Geral'!B39</f>
        <v>A</v>
      </c>
      <c r="W38" s="102" t="str">
        <f>'Quadro Geral'!E39</f>
        <v>Assegurar a sustentabilidade financeira</v>
      </c>
    </row>
    <row r="39" spans="1:23" ht="48.75" customHeight="1" x14ac:dyDescent="0.4">
      <c r="A39" s="152" t="str">
        <f>'Quadro Geral'!A40</f>
        <v>Gerência Especial de Planejamento e Gestão Estratégica (Geplan)</v>
      </c>
      <c r="B39" s="221" t="str">
        <f>'Quadro Geral'!B40</f>
        <v>A</v>
      </c>
      <c r="C39" s="153" t="str">
        <f>'Quadro Geral'!C40</f>
        <v>Manter e Desenvolver as Atividades da Gerência Especial de Planejamento e Gestão Estratégica</v>
      </c>
      <c r="D39" s="154">
        <f>'Quadro Geral'!I40</f>
        <v>382563.69</v>
      </c>
      <c r="E39" s="141"/>
      <c r="F39" s="277">
        <f>ROUND(357563.68556,2)</f>
        <v>357563.69</v>
      </c>
      <c r="G39" s="145">
        <v>5000</v>
      </c>
      <c r="H39" s="145"/>
      <c r="I39" s="145"/>
      <c r="J39" s="145">
        <v>5000</v>
      </c>
      <c r="K39" s="145">
        <v>15000</v>
      </c>
      <c r="L39" s="145"/>
      <c r="M39" s="145"/>
      <c r="N39" s="145"/>
      <c r="O39" s="155">
        <f t="shared" si="1"/>
        <v>382563.69</v>
      </c>
      <c r="P39" s="145"/>
      <c r="Q39" s="155">
        <f t="shared" si="2"/>
        <v>382563.69</v>
      </c>
      <c r="R39" s="156">
        <f t="shared" si="0"/>
        <v>2.1625985867721877</v>
      </c>
      <c r="S39" s="4" t="b">
        <f t="shared" si="3"/>
        <v>1</v>
      </c>
      <c r="T39" s="261">
        <f>Q39-'Quadro Geral'!I40</f>
        <v>0</v>
      </c>
      <c r="U39" s="261">
        <f>'Quadro Geral'!I40</f>
        <v>382563.69</v>
      </c>
      <c r="V39" s="102" t="str">
        <f>'Quadro Geral'!B40</f>
        <v>A</v>
      </c>
      <c r="W39" s="102" t="str">
        <f>'Quadro Geral'!E40</f>
        <v>Aprimorar e inovar os processos e as ações</v>
      </c>
    </row>
    <row r="40" spans="1:23" ht="48.75" customHeight="1" x14ac:dyDescent="0.4">
      <c r="A40" s="152" t="str">
        <f>'Quadro Geral'!A41</f>
        <v>Escritório Descentralizado Norte Minas</v>
      </c>
      <c r="B40" s="221" t="str">
        <f>'Quadro Geral'!B41</f>
        <v>A</v>
      </c>
      <c r="C40" s="153" t="str">
        <f>'Quadro Geral'!C41</f>
        <v>Manter e Desenvolver as Atividades do Escritório Descentralizado Norte de Minas</v>
      </c>
      <c r="D40" s="154">
        <f>'Quadro Geral'!I41</f>
        <v>177266.41</v>
      </c>
      <c r="E40" s="141"/>
      <c r="F40" s="277">
        <f>ROUND(81266.40624,2)</f>
        <v>81266.41</v>
      </c>
      <c r="G40" s="145">
        <v>2500</v>
      </c>
      <c r="H40" s="145"/>
      <c r="I40" s="145"/>
      <c r="J40" s="145">
        <v>2500</v>
      </c>
      <c r="K40" s="145">
        <v>90000</v>
      </c>
      <c r="L40" s="145"/>
      <c r="M40" s="145"/>
      <c r="N40" s="145">
        <v>1000</v>
      </c>
      <c r="O40" s="155">
        <f t="shared" si="1"/>
        <v>177266.41</v>
      </c>
      <c r="P40" s="145"/>
      <c r="Q40" s="155">
        <f t="shared" si="2"/>
        <v>177266.41</v>
      </c>
      <c r="R40" s="156">
        <f t="shared" si="0"/>
        <v>1.0020712832108536</v>
      </c>
      <c r="S40" s="4" t="b">
        <f t="shared" si="3"/>
        <v>1</v>
      </c>
      <c r="T40" s="261">
        <f>Q40-'Quadro Geral'!I41</f>
        <v>0</v>
      </c>
      <c r="U40" s="261">
        <f>'Quadro Geral'!I41</f>
        <v>177266.41</v>
      </c>
      <c r="V40" s="102" t="str">
        <f>'Quadro Geral'!B41</f>
        <v>A</v>
      </c>
      <c r="W40" s="102" t="str">
        <f>'Quadro Geral'!E41</f>
        <v>Assegurar a eficácia no atendimento e no relacionamento com os Arquitetos e Urbanistas e a Sociedade</v>
      </c>
    </row>
    <row r="41" spans="1:23" ht="48.75" customHeight="1" x14ac:dyDescent="0.4">
      <c r="A41" s="152" t="str">
        <f>'Quadro Geral'!A42</f>
        <v>Escritório Descentralizado Triângulo Mineiro e Alto Paranaíba</v>
      </c>
      <c r="B41" s="221" t="str">
        <f>'Quadro Geral'!B42</f>
        <v>A</v>
      </c>
      <c r="C41" s="153" t="str">
        <f>'Quadro Geral'!C42</f>
        <v>Manter e Desenvolver as Atividades do Escritório Descentralizado Triângulo Mineiro e Alto Paranaíba</v>
      </c>
      <c r="D41" s="154">
        <f>'Quadro Geral'!I42</f>
        <v>194205.18</v>
      </c>
      <c r="E41" s="141"/>
      <c r="F41" s="277">
        <f>ROUND(88205.18424,2)</f>
        <v>88205.18</v>
      </c>
      <c r="G41" s="145">
        <v>2500</v>
      </c>
      <c r="H41" s="145"/>
      <c r="I41" s="145"/>
      <c r="J41" s="145">
        <v>2500</v>
      </c>
      <c r="K41" s="145">
        <v>100000</v>
      </c>
      <c r="L41" s="145"/>
      <c r="M41" s="145"/>
      <c r="N41" s="145">
        <v>1000</v>
      </c>
      <c r="O41" s="155">
        <f t="shared" si="1"/>
        <v>194205.18</v>
      </c>
      <c r="P41" s="145"/>
      <c r="Q41" s="155">
        <f t="shared" si="2"/>
        <v>194205.18</v>
      </c>
      <c r="R41" s="156">
        <f t="shared" si="0"/>
        <v>1.0978246466930468</v>
      </c>
      <c r="S41" s="4" t="b">
        <f t="shared" si="3"/>
        <v>1</v>
      </c>
      <c r="T41" s="261">
        <f>Q41-'Quadro Geral'!I42</f>
        <v>0</v>
      </c>
      <c r="U41" s="261">
        <f>'Quadro Geral'!I42</f>
        <v>194205.18</v>
      </c>
      <c r="V41" s="102" t="str">
        <f>'Quadro Geral'!B42</f>
        <v>A</v>
      </c>
      <c r="W41" s="102" t="str">
        <f>'Quadro Geral'!E42</f>
        <v>Assegurar a eficácia no atendimento e no relacionamento com os Arquitetos e Urbanistas e a Sociedade</v>
      </c>
    </row>
    <row r="42" spans="1:23" ht="48.75" customHeight="1" x14ac:dyDescent="0.4">
      <c r="A42" s="152" t="str">
        <f>'Quadro Geral'!A43</f>
        <v>Escritório Descentralizado Zona da Mata e Vertentes</v>
      </c>
      <c r="B42" s="221" t="str">
        <f>'Quadro Geral'!B43</f>
        <v>A</v>
      </c>
      <c r="C42" s="153" t="str">
        <f>'Quadro Geral'!C43</f>
        <v>Manter e Desenvolver as Atividades do Escritório Descentralizado Zona da Mata e Vertentes.</v>
      </c>
      <c r="D42" s="154">
        <f>'Quadro Geral'!I43</f>
        <v>141944.82</v>
      </c>
      <c r="E42" s="141"/>
      <c r="F42" s="277">
        <f>ROUND(65944.81824,2)</f>
        <v>65944.820000000007</v>
      </c>
      <c r="G42" s="145">
        <v>2500</v>
      </c>
      <c r="H42" s="145"/>
      <c r="I42" s="145"/>
      <c r="J42" s="145">
        <v>2500</v>
      </c>
      <c r="K42" s="145">
        <v>70000</v>
      </c>
      <c r="L42" s="145"/>
      <c r="M42" s="145"/>
      <c r="N42" s="145">
        <v>1000</v>
      </c>
      <c r="O42" s="155">
        <f t="shared" si="1"/>
        <v>141944.82</v>
      </c>
      <c r="P42" s="145"/>
      <c r="Q42" s="155">
        <f t="shared" si="2"/>
        <v>141944.82</v>
      </c>
      <c r="R42" s="156">
        <f t="shared" si="0"/>
        <v>0.80240146975692483</v>
      </c>
      <c r="S42" s="4" t="b">
        <f t="shared" si="3"/>
        <v>1</v>
      </c>
      <c r="T42" s="261">
        <f>Q42-'Quadro Geral'!I43</f>
        <v>0</v>
      </c>
      <c r="U42" s="261">
        <f>'Quadro Geral'!I43</f>
        <v>141944.82</v>
      </c>
      <c r="V42" s="102" t="str">
        <f>'Quadro Geral'!B43</f>
        <v>A</v>
      </c>
      <c r="W42" s="102" t="str">
        <f>'Quadro Geral'!E43</f>
        <v>Assegurar a eficácia no atendimento e no relacionamento com os Arquitetos e Urbanistas e a Sociedade</v>
      </c>
    </row>
    <row r="43" spans="1:23" ht="48.75" customHeight="1" x14ac:dyDescent="0.4">
      <c r="A43" s="152" t="str">
        <f>'Quadro Geral'!A44</f>
        <v>Escritório Descentralizado Sul de Minas</v>
      </c>
      <c r="B43" s="221" t="str">
        <f>'Quadro Geral'!B44</f>
        <v>A</v>
      </c>
      <c r="C43" s="153" t="str">
        <f>'Quadro Geral'!C44</f>
        <v>Manter e Desenvolver as Atividades do Escritório Descentralizado Sul de Minas</v>
      </c>
      <c r="D43" s="154">
        <f>'Quadro Geral'!I44</f>
        <v>159814.54999999999</v>
      </c>
      <c r="E43" s="141"/>
      <c r="F43" s="277">
        <f>ROUND(73814.54424,2)+0.01</f>
        <v>73814.549999999988</v>
      </c>
      <c r="G43" s="145">
        <v>2500</v>
      </c>
      <c r="H43" s="145"/>
      <c r="I43" s="145"/>
      <c r="J43" s="145">
        <v>2500</v>
      </c>
      <c r="K43" s="145">
        <v>80000</v>
      </c>
      <c r="L43" s="145"/>
      <c r="M43" s="145"/>
      <c r="N43" s="145">
        <v>1000</v>
      </c>
      <c r="O43" s="155">
        <f t="shared" si="1"/>
        <v>159814.54999999999</v>
      </c>
      <c r="P43" s="145"/>
      <c r="Q43" s="155">
        <f t="shared" si="2"/>
        <v>159814.54999999999</v>
      </c>
      <c r="R43" s="156">
        <f t="shared" si="0"/>
        <v>0.90341746749576024</v>
      </c>
      <c r="S43" s="4" t="b">
        <f t="shared" si="3"/>
        <v>1</v>
      </c>
      <c r="T43" s="261">
        <f>Q43-'Quadro Geral'!I44</f>
        <v>0</v>
      </c>
      <c r="U43" s="261">
        <f>'Quadro Geral'!I44</f>
        <v>159814.54999999999</v>
      </c>
      <c r="V43" s="102" t="str">
        <f>'Quadro Geral'!B44</f>
        <v>A</v>
      </c>
      <c r="W43" s="102" t="str">
        <f>'Quadro Geral'!E44</f>
        <v>Assegurar a eficácia no atendimento e no relacionamento com os Arquitetos e Urbanistas e a Sociedade</v>
      </c>
    </row>
    <row r="44" spans="1:23" ht="48.75" customHeight="1" x14ac:dyDescent="0.4">
      <c r="A44" s="152" t="str">
        <f>'Quadro Geral'!A45</f>
        <v>Escritório Descentralizado Leste de Minas</v>
      </c>
      <c r="B44" s="221" t="str">
        <f>'Quadro Geral'!B45</f>
        <v>A</v>
      </c>
      <c r="C44" s="153" t="str">
        <f>'Quadro Geral'!C45</f>
        <v>Manter e Desenvolver as Atividades do Escritório Descentralizado Leste de Minas</v>
      </c>
      <c r="D44" s="154">
        <f>'Quadro Geral'!I45</f>
        <v>187193.75</v>
      </c>
      <c r="E44" s="141"/>
      <c r="F44" s="277">
        <f>ROUND(101193.754115556,2)</f>
        <v>101193.75</v>
      </c>
      <c r="G44" s="145">
        <v>2500</v>
      </c>
      <c r="H44" s="145"/>
      <c r="I44" s="145"/>
      <c r="J44" s="145">
        <v>2500</v>
      </c>
      <c r="K44" s="145">
        <v>80000</v>
      </c>
      <c r="L44" s="145"/>
      <c r="M44" s="145"/>
      <c r="N44" s="145">
        <v>1000</v>
      </c>
      <c r="O44" s="155">
        <f t="shared" si="1"/>
        <v>187193.75</v>
      </c>
      <c r="P44" s="145"/>
      <c r="Q44" s="155">
        <f t="shared" si="2"/>
        <v>187193.75</v>
      </c>
      <c r="R44" s="156">
        <f t="shared" si="0"/>
        <v>1.0581896551724137</v>
      </c>
      <c r="S44" s="4" t="b">
        <f t="shared" si="3"/>
        <v>1</v>
      </c>
      <c r="T44" s="261">
        <f>Q44-'Quadro Geral'!I45</f>
        <v>0</v>
      </c>
      <c r="U44" s="261">
        <f>'Quadro Geral'!I45</f>
        <v>187193.75</v>
      </c>
      <c r="V44" s="102" t="str">
        <f>'Quadro Geral'!B45</f>
        <v>A</v>
      </c>
      <c r="W44" s="102" t="str">
        <f>'Quadro Geral'!E45</f>
        <v>Assegurar a eficácia no atendimento e no relacionamento com os Arquitetos e Urbanistas e a Sociedade</v>
      </c>
    </row>
    <row r="45" spans="1:23" ht="48.75" customHeight="1" x14ac:dyDescent="0.4">
      <c r="A45" s="152" t="str">
        <f>'Quadro Geral'!A46</f>
        <v>Colegiado das Entidades Estaduais de Arquitetos e Urbanistas do CAU/MG (CEAU)</v>
      </c>
      <c r="B45" s="221" t="str">
        <f>'Quadro Geral'!B46</f>
        <v>A</v>
      </c>
      <c r="C45" s="153" t="str">
        <f>'Quadro Geral'!C46</f>
        <v>Manter e Desenvolver as Atividades do Colegiado das Entidades Estaduais de Arquitetos e Urbanistas do CAU/MG</v>
      </c>
      <c r="D45" s="154">
        <f>'Quadro Geral'!I46</f>
        <v>45000</v>
      </c>
      <c r="E45" s="141"/>
      <c r="F45" s="277"/>
      <c r="G45" s="145"/>
      <c r="H45" s="145"/>
      <c r="I45" s="145">
        <v>22500</v>
      </c>
      <c r="J45" s="145">
        <v>22500</v>
      </c>
      <c r="K45" s="145"/>
      <c r="L45" s="145"/>
      <c r="M45" s="145"/>
      <c r="N45" s="145"/>
      <c r="O45" s="155">
        <f t="shared" si="1"/>
        <v>45000</v>
      </c>
      <c r="P45" s="145"/>
      <c r="Q45" s="155">
        <f t="shared" si="2"/>
        <v>45000</v>
      </c>
      <c r="R45" s="156">
        <f t="shared" si="0"/>
        <v>0.25438100621820237</v>
      </c>
      <c r="S45" s="4" t="b">
        <f t="shared" si="3"/>
        <v>1</v>
      </c>
      <c r="T45" s="261">
        <f>Q45-'Quadro Geral'!I46</f>
        <v>0</v>
      </c>
      <c r="U45" s="261"/>
      <c r="V45" s="102" t="str">
        <f>'Quadro Geral'!B46</f>
        <v>A</v>
      </c>
      <c r="W45" s="102" t="str">
        <f>'Quadro Geral'!E46</f>
        <v>Valorizar a Arquitetura e Urbanismo</v>
      </c>
    </row>
    <row r="46" spans="1:23" ht="48.75" customHeight="1" x14ac:dyDescent="0.4">
      <c r="A46" s="152" t="str">
        <f>'Quadro Geral'!A47</f>
        <v>Colegiado das Entidades Estaduais de Arquitetos e Urbanistas do CAU/MG (CEAU)</v>
      </c>
      <c r="B46" s="221" t="str">
        <f>'Quadro Geral'!B47</f>
        <v>PE</v>
      </c>
      <c r="C46" s="153" t="str">
        <f>'Quadro Geral'!C47</f>
        <v>Edital de Patrocínio para Entidades de Arquitetos e Urbanistas</v>
      </c>
      <c r="D46" s="154">
        <f>'Quadro Geral'!I47</f>
        <v>100000</v>
      </c>
      <c r="E46" s="141"/>
      <c r="F46" s="277"/>
      <c r="G46" s="145"/>
      <c r="H46" s="145"/>
      <c r="I46" s="145"/>
      <c r="J46" s="145"/>
      <c r="K46" s="145"/>
      <c r="L46" s="275">
        <v>100000</v>
      </c>
      <c r="M46" s="145"/>
      <c r="N46" s="145"/>
      <c r="O46" s="155">
        <f t="shared" si="1"/>
        <v>100000</v>
      </c>
      <c r="P46" s="145"/>
      <c r="Q46" s="155">
        <f t="shared" si="2"/>
        <v>100000</v>
      </c>
      <c r="R46" s="156">
        <f t="shared" si="0"/>
        <v>0.56529112492933864</v>
      </c>
      <c r="S46" s="4" t="b">
        <f t="shared" si="3"/>
        <v>1</v>
      </c>
      <c r="T46" s="261">
        <f>Q46-'Quadro Geral'!I47</f>
        <v>0</v>
      </c>
      <c r="U46" s="261"/>
      <c r="V46" s="102" t="str">
        <f>'Quadro Geral'!B47</f>
        <v>PE</v>
      </c>
      <c r="W46" s="102" t="str">
        <f>'Quadro Geral'!E47</f>
        <v>Estimular o conhecimento, o uso de processos criativos e a difusão das melhores práticas em Arquitetura e Urbanismo</v>
      </c>
    </row>
    <row r="47" spans="1:23" ht="48.75" customHeight="1" x14ac:dyDescent="0.4">
      <c r="A47" s="152" t="str">
        <f>'Quadro Geral'!A48</f>
        <v>GERGEL</v>
      </c>
      <c r="B47" s="221" t="str">
        <f>'Quadro Geral'!B48</f>
        <v>P</v>
      </c>
      <c r="C47" s="153" t="str">
        <f>'Quadro Geral'!C48</f>
        <v>Projeto Eleições 2023</v>
      </c>
      <c r="D47" s="154">
        <f>'Quadro Geral'!I48</f>
        <v>35000</v>
      </c>
      <c r="E47" s="141"/>
      <c r="F47" s="277">
        <v>10000</v>
      </c>
      <c r="G47" s="145">
        <v>5000</v>
      </c>
      <c r="H47" s="145"/>
      <c r="I47" s="145">
        <v>10000</v>
      </c>
      <c r="J47" s="145">
        <v>10000</v>
      </c>
      <c r="K47" s="145"/>
      <c r="L47" s="145"/>
      <c r="M47" s="145"/>
      <c r="N47" s="145"/>
      <c r="O47" s="155">
        <f t="shared" si="1"/>
        <v>35000</v>
      </c>
      <c r="P47" s="145"/>
      <c r="Q47" s="155">
        <f t="shared" si="2"/>
        <v>35000</v>
      </c>
      <c r="R47" s="156">
        <f t="shared" si="0"/>
        <v>0.19785189372526851</v>
      </c>
      <c r="S47" s="4" t="b">
        <f t="shared" si="3"/>
        <v>1</v>
      </c>
      <c r="T47" s="261">
        <f>Q47-'Quadro Geral'!I48</f>
        <v>0</v>
      </c>
      <c r="U47" s="261"/>
      <c r="V47" s="102" t="e">
        <f>'Quadro Geral'!#REF!</f>
        <v>#REF!</v>
      </c>
      <c r="W47" s="102" t="e">
        <f>'Quadro Geral'!#REF!</f>
        <v>#REF!</v>
      </c>
    </row>
    <row r="48" spans="1:23" ht="48.75" customHeight="1" x14ac:dyDescent="0.4">
      <c r="A48" s="152" t="str">
        <f>'Quadro Geral'!A49</f>
        <v>GERGEL</v>
      </c>
      <c r="B48" s="221" t="str">
        <f>'Quadro Geral'!B49</f>
        <v>P</v>
      </c>
      <c r="C48" s="153" t="str">
        <f>'Quadro Geral'!C49</f>
        <v>Concurso público 2023</v>
      </c>
      <c r="D48" s="154">
        <f>'Quadro Geral'!I49</f>
        <v>40000</v>
      </c>
      <c r="E48" s="141"/>
      <c r="F48" s="277"/>
      <c r="G48" s="145"/>
      <c r="H48" s="145"/>
      <c r="I48" s="145"/>
      <c r="J48" s="145"/>
      <c r="K48" s="145">
        <v>40000</v>
      </c>
      <c r="L48" s="145"/>
      <c r="M48" s="145"/>
      <c r="N48" s="145"/>
      <c r="O48" s="155">
        <f t="shared" si="1"/>
        <v>40000</v>
      </c>
      <c r="P48" s="145"/>
      <c r="Q48" s="155">
        <f t="shared" si="2"/>
        <v>40000</v>
      </c>
      <c r="R48" s="156">
        <f t="shared" si="0"/>
        <v>0.22611644997173544</v>
      </c>
      <c r="S48" s="4" t="b">
        <f t="shared" si="3"/>
        <v>1</v>
      </c>
      <c r="T48" s="261">
        <f>Q48-'Quadro Geral'!I49</f>
        <v>0</v>
      </c>
      <c r="U48" s="261"/>
      <c r="V48" s="102" t="e">
        <f>'Quadro Geral'!#REF!</f>
        <v>#REF!</v>
      </c>
      <c r="W48" s="102" t="e">
        <f>'Quadro Geral'!#REF!</f>
        <v>#REF!</v>
      </c>
    </row>
    <row r="49" spans="1:22" s="148" customFormat="1" x14ac:dyDescent="0.25">
      <c r="A49" s="416" t="s">
        <v>44</v>
      </c>
      <c r="B49" s="416"/>
      <c r="C49" s="416"/>
      <c r="D49" s="195">
        <f>SUM(D7:D48)</f>
        <v>17690000</v>
      </c>
      <c r="E49" s="141"/>
      <c r="F49" s="196">
        <f t="shared" ref="F49:Q49" si="4">SUM(F7:F48)</f>
        <v>8406524.3399999999</v>
      </c>
      <c r="G49" s="196">
        <f t="shared" si="4"/>
        <v>135750</v>
      </c>
      <c r="H49" s="196">
        <f t="shared" si="4"/>
        <v>50000</v>
      </c>
      <c r="I49" s="196">
        <f t="shared" si="4"/>
        <v>531750</v>
      </c>
      <c r="J49" s="196">
        <f t="shared" si="4"/>
        <v>668000</v>
      </c>
      <c r="K49" s="196">
        <f t="shared" si="4"/>
        <v>3291935.95</v>
      </c>
      <c r="L49" s="196">
        <f t="shared" si="4"/>
        <v>2451039.71</v>
      </c>
      <c r="M49" s="196">
        <f t="shared" si="4"/>
        <v>40000</v>
      </c>
      <c r="N49" s="196">
        <f t="shared" si="4"/>
        <v>315000</v>
      </c>
      <c r="O49" s="196">
        <f t="shared" si="4"/>
        <v>15890000</v>
      </c>
      <c r="P49" s="196">
        <f t="shared" si="4"/>
        <v>1800000</v>
      </c>
      <c r="Q49" s="196">
        <f t="shared" si="4"/>
        <v>17690000</v>
      </c>
      <c r="R49" s="417">
        <f t="shared" ref="R49" si="5">IFERROR(Q49/$Q$49*100,0)</f>
        <v>100</v>
      </c>
      <c r="S49" s="4" t="b">
        <f t="shared" si="3"/>
        <v>1</v>
      </c>
      <c r="T49" s="147"/>
      <c r="U49" s="147"/>
      <c r="V49" s="118"/>
    </row>
    <row r="50" spans="1:22" s="148" customFormat="1" x14ac:dyDescent="0.25">
      <c r="A50" s="416" t="s">
        <v>40</v>
      </c>
      <c r="B50" s="416"/>
      <c r="C50" s="416"/>
      <c r="D50" s="416"/>
      <c r="E50" s="141"/>
      <c r="F50" s="197">
        <f>IFERROR(F49/$Q49*100,0)</f>
        <v>47.52133600904466</v>
      </c>
      <c r="G50" s="197">
        <f>IFERROR(G49/$Q49*100,0)</f>
        <v>0.76738270209157722</v>
      </c>
      <c r="H50" s="197">
        <f t="shared" ref="H50" si="6">IFERROR(H49/$Q49*100,0)</f>
        <v>0.28264556246466932</v>
      </c>
      <c r="I50" s="197">
        <f t="shared" ref="I50:Q50" si="7">IFERROR(I49/$Q49*100,0)</f>
        <v>3.0059355568117581</v>
      </c>
      <c r="J50" s="197">
        <f t="shared" si="7"/>
        <v>3.7761447145279821</v>
      </c>
      <c r="K50" s="197">
        <f t="shared" si="7"/>
        <v>18.609021763708313</v>
      </c>
      <c r="L50" s="197">
        <f t="shared" si="7"/>
        <v>13.855509949123798</v>
      </c>
      <c r="M50" s="197">
        <f t="shared" si="7"/>
        <v>0.22611644997173544</v>
      </c>
      <c r="N50" s="197">
        <f t="shared" si="7"/>
        <v>1.7806670435274168</v>
      </c>
      <c r="O50" s="197">
        <f t="shared" si="7"/>
        <v>89.824759751271912</v>
      </c>
      <c r="P50" s="197">
        <f t="shared" si="7"/>
        <v>10.175240248728095</v>
      </c>
      <c r="Q50" s="197">
        <f t="shared" si="7"/>
        <v>100</v>
      </c>
      <c r="R50" s="417"/>
      <c r="S50" s="118"/>
      <c r="T50" s="147"/>
      <c r="U50" s="147"/>
      <c r="V50" s="118"/>
    </row>
    <row r="51" spans="1:22" s="151" customFormat="1" ht="25.5" x14ac:dyDescent="0.35">
      <c r="A51" s="149"/>
      <c r="B51" s="149"/>
      <c r="C51" s="150"/>
      <c r="D51" s="102" t="b">
        <f>D49='Anexo 1. Fontes e Aplicações'!D25</f>
        <v>1</v>
      </c>
      <c r="E51" s="141"/>
      <c r="F51" s="102" t="b">
        <f>F49='Anexo 2. Limites Estratégicos'!M6</f>
        <v>0</v>
      </c>
      <c r="G51" s="149"/>
      <c r="H51" s="150" t="str">
        <f>'Quadro Geral'!A51</f>
        <v>LEGENDA: P = PROJETO/ A = ATIVIDADE/ PE = PROJETO ESPECÍFICO</v>
      </c>
      <c r="I51" s="150"/>
      <c r="J51" s="150"/>
      <c r="K51" s="150"/>
      <c r="L51" s="150"/>
      <c r="M51" s="150"/>
      <c r="N51" s="150"/>
      <c r="O51" s="102" t="b">
        <f>Q49-P49=O49</f>
        <v>1</v>
      </c>
      <c r="P51" s="102" t="b">
        <f>('Anexo 1. Fontes e Aplicações'!D23-'Anexo 1. Fontes e Aplicações'!D29)='Anexo 3. Elemento de Despesas'!P49</f>
        <v>1</v>
      </c>
      <c r="Q51" s="207" t="b">
        <f>Q49='Quadro Geral'!I50</f>
        <v>1</v>
      </c>
      <c r="R51" s="150"/>
      <c r="S51" s="149"/>
      <c r="T51" s="146"/>
      <c r="U51" s="146"/>
      <c r="V51" s="149"/>
    </row>
    <row r="52" spans="1:22" s="151" customFormat="1" ht="25.5" x14ac:dyDescent="0.35">
      <c r="A52" s="412" t="s">
        <v>139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149"/>
      <c r="T52" s="146"/>
      <c r="U52" s="146"/>
      <c r="V52" s="149"/>
    </row>
    <row r="53" spans="1:22" s="151" customFormat="1" ht="321.75" customHeight="1" x14ac:dyDescent="0.35">
      <c r="A53" s="413" t="s">
        <v>239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149"/>
      <c r="T53" s="149"/>
      <c r="U53" s="149"/>
      <c r="V53" s="149"/>
    </row>
    <row r="54" spans="1:22" x14ac:dyDescent="0.4"/>
    <row r="55" spans="1:22" x14ac:dyDescent="0.4"/>
    <row r="56" spans="1:22" x14ac:dyDescent="0.4"/>
    <row r="57" spans="1:22" x14ac:dyDescent="0.4"/>
    <row r="58" spans="1:22" x14ac:dyDescent="0.4"/>
    <row r="59" spans="1:22" x14ac:dyDescent="0.4"/>
    <row r="60" spans="1:22" x14ac:dyDescent="0.4"/>
    <row r="61" spans="1:22" x14ac:dyDescent="0.4"/>
    <row r="62" spans="1:22" x14ac:dyDescent="0.4"/>
    <row r="63" spans="1:22" x14ac:dyDescent="0.4"/>
    <row r="64" spans="1:22" x14ac:dyDescent="0.4"/>
    <row r="65" x14ac:dyDescent="0.4"/>
    <row r="66" x14ac:dyDescent="0.4"/>
    <row r="67" x14ac:dyDescent="0.4"/>
    <row r="68" x14ac:dyDescent="0.4"/>
    <row r="69" x14ac:dyDescent="0.4"/>
    <row r="70" x14ac:dyDescent="0.4"/>
    <row r="71" x14ac:dyDescent="0.4"/>
    <row r="72" x14ac:dyDescent="0.4"/>
    <row r="73" x14ac:dyDescent="0.4"/>
    <row r="74" x14ac:dyDescent="0.4"/>
    <row r="75" x14ac:dyDescent="0.4"/>
    <row r="76" x14ac:dyDescent="0.4"/>
    <row r="77" x14ac:dyDescent="0.4"/>
    <row r="78" x14ac:dyDescent="0.4"/>
    <row r="79" x14ac:dyDescent="0.4"/>
    <row r="80" x14ac:dyDescent="0.4"/>
    <row r="81" x14ac:dyDescent="0.4"/>
    <row r="82" x14ac:dyDescent="0.4"/>
    <row r="83" x14ac:dyDescent="0.4"/>
    <row r="84" x14ac:dyDescent="0.4"/>
    <row r="85" x14ac:dyDescent="0.4"/>
    <row r="86" x14ac:dyDescent="0.4"/>
  </sheetData>
  <autoFilter ref="A6:AD53" xr:uid="{00000000-0009-0000-0000-000006000000}"/>
  <mergeCells count="22">
    <mergeCell ref="S5:S6"/>
    <mergeCell ref="A52:R52"/>
    <mergeCell ref="A53:R53"/>
    <mergeCell ref="I5:K5"/>
    <mergeCell ref="L5:L6"/>
    <mergeCell ref="M5:M6"/>
    <mergeCell ref="A49:C49"/>
    <mergeCell ref="R49:R50"/>
    <mergeCell ref="A50:D50"/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  <mergeCell ref="B5:B6"/>
  </mergeCells>
  <conditionalFormatting sqref="S7:S49">
    <cfRule type="cellIs" dxfId="12" priority="5" operator="equal">
      <formula>TRUE</formula>
    </cfRule>
  </conditionalFormatting>
  <conditionalFormatting sqref="D51">
    <cfRule type="cellIs" dxfId="11" priority="4" operator="equal">
      <formula>TRUE</formula>
    </cfRule>
  </conditionalFormatting>
  <conditionalFormatting sqref="F51">
    <cfRule type="cellIs" dxfId="10" priority="3" operator="equal">
      <formula>TRUE</formula>
    </cfRule>
  </conditionalFormatting>
  <conditionalFormatting sqref="P51:Q51">
    <cfRule type="cellIs" dxfId="9" priority="2" operator="equal">
      <formula>TRUE</formula>
    </cfRule>
  </conditionalFormatting>
  <conditionalFormatting sqref="O51">
    <cfRule type="cellIs" dxfId="8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ignoredErrors>
    <ignoredError sqref="I10:J10 I11:I13 G24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W34"/>
  <sheetViews>
    <sheetView topLeftCell="E1" zoomScale="150" zoomScaleNormal="150" workbookViewId="0">
      <selection activeCell="E3" sqref="E3"/>
    </sheetView>
  </sheetViews>
  <sheetFormatPr defaultRowHeight="15.75" x14ac:dyDescent="0.25"/>
  <cols>
    <col min="1" max="1" width="48.7109375" style="5" bestFit="1" customWidth="1"/>
    <col min="2" max="2" width="42.5703125" style="5" bestFit="1" customWidth="1"/>
    <col min="3" max="3" width="46.28515625" style="5" bestFit="1" customWidth="1"/>
    <col min="4" max="4" width="127.85546875" style="5" customWidth="1"/>
    <col min="5" max="8" width="9.140625" style="5"/>
    <col min="9" max="9" width="13.5703125" style="5" bestFit="1" customWidth="1"/>
    <col min="10" max="49" width="9.140625" style="5"/>
  </cols>
  <sheetData>
    <row r="1" spans="1:7" x14ac:dyDescent="0.25">
      <c r="A1" s="5" t="s">
        <v>83</v>
      </c>
      <c r="B1" s="7" t="s">
        <v>63</v>
      </c>
      <c r="C1" s="7" t="s">
        <v>131</v>
      </c>
      <c r="D1" s="5" t="s">
        <v>29</v>
      </c>
      <c r="E1" s="5" t="s">
        <v>222</v>
      </c>
      <c r="G1" s="5" t="s">
        <v>275</v>
      </c>
    </row>
    <row r="2" spans="1:7" x14ac:dyDescent="0.25">
      <c r="A2" s="5" t="s">
        <v>91</v>
      </c>
      <c r="B2" s="7" t="s">
        <v>41</v>
      </c>
      <c r="C2" s="7" t="s">
        <v>132</v>
      </c>
      <c r="D2" s="5" t="s">
        <v>101</v>
      </c>
      <c r="E2" s="5" t="s">
        <v>223</v>
      </c>
      <c r="G2" s="5" t="s">
        <v>273</v>
      </c>
    </row>
    <row r="3" spans="1:7" x14ac:dyDescent="0.25">
      <c r="A3" s="5" t="s">
        <v>92</v>
      </c>
      <c r="B3" s="6" t="s">
        <v>36</v>
      </c>
      <c r="C3" s="7" t="s">
        <v>102</v>
      </c>
      <c r="D3" s="5" t="s">
        <v>25</v>
      </c>
      <c r="E3" s="5" t="s">
        <v>224</v>
      </c>
      <c r="G3" s="5" t="s">
        <v>272</v>
      </c>
    </row>
    <row r="4" spans="1:7" x14ac:dyDescent="0.25">
      <c r="A4" s="5" t="s">
        <v>93</v>
      </c>
      <c r="B4" s="8" t="s">
        <v>123</v>
      </c>
      <c r="C4" s="7" t="s">
        <v>103</v>
      </c>
      <c r="D4" s="5" t="s">
        <v>28</v>
      </c>
      <c r="E4" s="5" t="s">
        <v>225</v>
      </c>
      <c r="G4" s="5" t="s">
        <v>270</v>
      </c>
    </row>
    <row r="5" spans="1:7" x14ac:dyDescent="0.25">
      <c r="A5" s="5" t="s">
        <v>84</v>
      </c>
      <c r="B5" s="8" t="s">
        <v>124</v>
      </c>
      <c r="C5" s="7" t="s">
        <v>104</v>
      </c>
      <c r="D5" s="5" t="s">
        <v>31</v>
      </c>
      <c r="E5" s="5" t="s">
        <v>226</v>
      </c>
      <c r="G5" s="5" t="s">
        <v>268</v>
      </c>
    </row>
    <row r="6" spans="1:7" x14ac:dyDescent="0.25">
      <c r="A6" s="5" t="s">
        <v>94</v>
      </c>
      <c r="B6" s="8" t="s">
        <v>125</v>
      </c>
      <c r="C6" s="7" t="s">
        <v>105</v>
      </c>
      <c r="D6" s="5" t="s">
        <v>30</v>
      </c>
      <c r="E6" s="5" t="s">
        <v>227</v>
      </c>
      <c r="G6" s="5" t="s">
        <v>266</v>
      </c>
    </row>
    <row r="7" spans="1:7" x14ac:dyDescent="0.25">
      <c r="A7" s="5" t="s">
        <v>174</v>
      </c>
      <c r="B7" s="8" t="s">
        <v>126</v>
      </c>
      <c r="C7" s="7" t="s">
        <v>106</v>
      </c>
      <c r="D7" s="5" t="s">
        <v>107</v>
      </c>
      <c r="G7" s="5" t="s">
        <v>265</v>
      </c>
    </row>
    <row r="8" spans="1:7" x14ac:dyDescent="0.25">
      <c r="A8" s="5" t="s">
        <v>85</v>
      </c>
      <c r="B8" s="8" t="s">
        <v>127</v>
      </c>
      <c r="C8" s="7" t="s">
        <v>108</v>
      </c>
      <c r="D8" s="5" t="s">
        <v>22</v>
      </c>
      <c r="G8" s="5" t="s">
        <v>264</v>
      </c>
    </row>
    <row r="9" spans="1:7" x14ac:dyDescent="0.25">
      <c r="A9" s="5" t="s">
        <v>95</v>
      </c>
      <c r="B9" s="8" t="s">
        <v>135</v>
      </c>
      <c r="C9" s="7" t="s">
        <v>109</v>
      </c>
      <c r="D9" s="5" t="s">
        <v>27</v>
      </c>
      <c r="G9" s="5" t="s">
        <v>262</v>
      </c>
    </row>
    <row r="10" spans="1:7" x14ac:dyDescent="0.25">
      <c r="A10" s="5" t="s">
        <v>86</v>
      </c>
      <c r="B10" s="7" t="s">
        <v>38</v>
      </c>
      <c r="C10" s="7" t="s">
        <v>110</v>
      </c>
      <c r="D10" s="5" t="s">
        <v>134</v>
      </c>
      <c r="G10" s="5" t="s">
        <v>261</v>
      </c>
    </row>
    <row r="11" spans="1:7" x14ac:dyDescent="0.25">
      <c r="A11" s="5" t="s">
        <v>87</v>
      </c>
      <c r="B11" s="7" t="s">
        <v>2</v>
      </c>
      <c r="C11" s="7" t="s">
        <v>111</v>
      </c>
      <c r="D11" s="5" t="s">
        <v>19</v>
      </c>
      <c r="G11" s="5" t="s">
        <v>258</v>
      </c>
    </row>
    <row r="12" spans="1:7" x14ac:dyDescent="0.25">
      <c r="A12" s="5" t="s">
        <v>96</v>
      </c>
      <c r="C12" s="7" t="s">
        <v>112</v>
      </c>
      <c r="D12" s="5" t="s">
        <v>113</v>
      </c>
      <c r="G12" s="5" t="s">
        <v>256</v>
      </c>
    </row>
    <row r="13" spans="1:7" x14ac:dyDescent="0.25">
      <c r="A13" s="5" t="s">
        <v>97</v>
      </c>
      <c r="B13" s="6"/>
      <c r="C13" s="7" t="s">
        <v>114</v>
      </c>
      <c r="D13" s="5" t="s">
        <v>26</v>
      </c>
      <c r="G13" s="5" t="s">
        <v>254</v>
      </c>
    </row>
    <row r="14" spans="1:7" x14ac:dyDescent="0.25">
      <c r="A14" s="5" t="s">
        <v>88</v>
      </c>
      <c r="B14" s="6"/>
      <c r="C14" s="7" t="s">
        <v>115</v>
      </c>
      <c r="D14" s="5" t="s">
        <v>32</v>
      </c>
      <c r="G14" s="5" t="s">
        <v>252</v>
      </c>
    </row>
    <row r="15" spans="1:7" x14ac:dyDescent="0.25">
      <c r="A15" s="5" t="s">
        <v>98</v>
      </c>
      <c r="B15" s="6"/>
      <c r="C15" s="7" t="s">
        <v>116</v>
      </c>
      <c r="D15" s="5" t="s">
        <v>20</v>
      </c>
      <c r="G15" s="5" t="s">
        <v>251</v>
      </c>
    </row>
    <row r="16" spans="1:7" x14ac:dyDescent="0.25">
      <c r="A16" s="5" t="s">
        <v>89</v>
      </c>
      <c r="B16" s="6"/>
      <c r="C16" s="7" t="s">
        <v>117</v>
      </c>
      <c r="D16" s="5" t="s">
        <v>133</v>
      </c>
      <c r="G16" s="5" t="s">
        <v>224</v>
      </c>
    </row>
    <row r="17" spans="1:7" x14ac:dyDescent="0.25">
      <c r="A17" s="5" t="s">
        <v>90</v>
      </c>
      <c r="B17" s="6"/>
      <c r="C17" s="7" t="s">
        <v>118</v>
      </c>
      <c r="G17" s="5" t="s">
        <v>250</v>
      </c>
    </row>
    <row r="18" spans="1:7" x14ac:dyDescent="0.25">
      <c r="B18" s="6"/>
      <c r="C18" s="7" t="s">
        <v>119</v>
      </c>
      <c r="G18" s="5" t="s">
        <v>249</v>
      </c>
    </row>
    <row r="19" spans="1:7" x14ac:dyDescent="0.25">
      <c r="C19" s="7" t="s">
        <v>120</v>
      </c>
      <c r="G19" s="5" t="s">
        <v>248</v>
      </c>
    </row>
    <row r="20" spans="1:7" x14ac:dyDescent="0.25">
      <c r="C20" s="7" t="s">
        <v>121</v>
      </c>
      <c r="G20" s="5" t="s">
        <v>247</v>
      </c>
    </row>
    <row r="21" spans="1:7" x14ac:dyDescent="0.25">
      <c r="C21" s="7" t="s">
        <v>122</v>
      </c>
      <c r="G21" s="5" t="s">
        <v>246</v>
      </c>
    </row>
    <row r="22" spans="1:7" x14ac:dyDescent="0.25">
      <c r="G22" s="5" t="s">
        <v>245</v>
      </c>
    </row>
    <row r="23" spans="1:7" x14ac:dyDescent="0.25">
      <c r="G23" s="5" t="s">
        <v>244</v>
      </c>
    </row>
    <row r="24" spans="1:7" x14ac:dyDescent="0.25">
      <c r="G24" s="5" t="s">
        <v>243</v>
      </c>
    </row>
    <row r="25" spans="1:7" x14ac:dyDescent="0.25">
      <c r="G25" s="5" t="s">
        <v>242</v>
      </c>
    </row>
    <row r="26" spans="1:7" x14ac:dyDescent="0.25">
      <c r="G26" s="5" t="s">
        <v>241</v>
      </c>
    </row>
    <row r="27" spans="1:7" x14ac:dyDescent="0.25">
      <c r="G27" s="5" t="s">
        <v>240</v>
      </c>
    </row>
    <row r="28" spans="1:7" x14ac:dyDescent="0.25">
      <c r="G28" s="5" t="s">
        <v>326</v>
      </c>
    </row>
    <row r="34" spans="1:1" x14ac:dyDescent="0.25">
      <c r="A34" s="5" t="s">
        <v>318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IO26"/>
  <sheetViews>
    <sheetView showGridLines="0" zoomScaleNormal="100" workbookViewId="0">
      <selection activeCell="K19" sqref="A1:K19"/>
    </sheetView>
  </sheetViews>
  <sheetFormatPr defaultColWidth="0" defaultRowHeight="23.25" zeroHeight="1" x14ac:dyDescent="0.35"/>
  <cols>
    <col min="1" max="1" width="16.5703125" style="59" customWidth="1"/>
    <col min="2" max="2" width="70.42578125" style="60" customWidth="1"/>
    <col min="3" max="3" width="8.42578125" style="60" bestFit="1" customWidth="1"/>
    <col min="4" max="4" width="17.7109375" style="66" customWidth="1"/>
    <col min="5" max="5" width="8.140625" style="60" bestFit="1" customWidth="1"/>
    <col min="6" max="6" width="17.7109375" style="66" customWidth="1"/>
    <col min="7" max="7" width="8.42578125" style="60" bestFit="1" customWidth="1"/>
    <col min="8" max="8" width="17.7109375" style="66" customWidth="1"/>
    <col min="9" max="9" width="8.42578125" style="60" bestFit="1" customWidth="1"/>
    <col min="10" max="10" width="17.7109375" style="66" customWidth="1"/>
    <col min="11" max="11" width="12.28515625" style="60" bestFit="1" customWidth="1"/>
    <col min="12" max="12" width="8.5703125" style="54" customWidth="1"/>
    <col min="13" max="13" width="130.7109375" style="71" bestFit="1" customWidth="1"/>
    <col min="14" max="249" width="0" style="54" hidden="1" customWidth="1"/>
    <col min="250" max="16384" width="22.5703125" style="54" hidden="1"/>
  </cols>
  <sheetData>
    <row r="1" spans="1:13" x14ac:dyDescent="0.35">
      <c r="A1" s="421" t="s">
        <v>308</v>
      </c>
      <c r="B1" s="421" t="s">
        <v>307</v>
      </c>
      <c r="C1" s="420" t="s">
        <v>306</v>
      </c>
      <c r="D1" s="420"/>
      <c r="E1" s="420" t="s">
        <v>309</v>
      </c>
      <c r="F1" s="420"/>
      <c r="G1" s="420" t="s">
        <v>305</v>
      </c>
      <c r="H1" s="420"/>
      <c r="I1" s="420" t="s">
        <v>304</v>
      </c>
      <c r="J1" s="420"/>
      <c r="K1" s="423" t="s">
        <v>303</v>
      </c>
      <c r="M1" s="200" t="s">
        <v>310</v>
      </c>
    </row>
    <row r="2" spans="1:13" x14ac:dyDescent="0.35">
      <c r="A2" s="422"/>
      <c r="B2" s="422"/>
      <c r="C2" s="198" t="s">
        <v>302</v>
      </c>
      <c r="D2" s="199" t="s">
        <v>49</v>
      </c>
      <c r="E2" s="198" t="s">
        <v>302</v>
      </c>
      <c r="F2" s="199" t="s">
        <v>49</v>
      </c>
      <c r="G2" s="198" t="s">
        <v>302</v>
      </c>
      <c r="H2" s="199" t="s">
        <v>49</v>
      </c>
      <c r="I2" s="198" t="s">
        <v>302</v>
      </c>
      <c r="J2" s="199" t="s">
        <v>49</v>
      </c>
      <c r="K2" s="424"/>
      <c r="M2" s="200" t="s">
        <v>311</v>
      </c>
    </row>
    <row r="3" spans="1:13" ht="30.75" customHeight="1" x14ac:dyDescent="0.35">
      <c r="A3" s="425" t="s">
        <v>148</v>
      </c>
      <c r="B3" s="56" t="s">
        <v>19</v>
      </c>
      <c r="C3" s="57">
        <f>COUNTIFS('Quadro Geral'!$E:$E,'Matriz de Obj. Estrat.'!$B3,'Quadro Geral'!$B:$B,"P")</f>
        <v>0</v>
      </c>
      <c r="D3" s="65">
        <f>SUMIFS('Quadro Geral'!$I:$I,'Quadro Geral'!$E:$E,'Matriz de Obj. Estrat.'!$B3,'Quadro Geral'!$B:$B,"P")</f>
        <v>0</v>
      </c>
      <c r="E3" s="57">
        <f>COUNTIFS('Quadro Geral'!$E:$E,'Matriz de Obj. Estrat.'!$B3,'Quadro Geral'!$B:$B,"PE")</f>
        <v>0</v>
      </c>
      <c r="F3" s="65">
        <f>SUMIFS('Quadro Geral'!$I:$I,'Quadro Geral'!$E:$E,'Matriz de Obj. Estrat.'!$B3,'Quadro Geral'!$B:$B,"PE")</f>
        <v>0</v>
      </c>
      <c r="G3" s="57">
        <f>COUNTIFS('Quadro Geral'!$E:$E,'Matriz de Obj. Estrat.'!$B3,'Quadro Geral'!$B:$B,"A")</f>
        <v>0</v>
      </c>
      <c r="H3" s="65">
        <f>SUMIFS('Quadro Geral'!$I:$I,'Quadro Geral'!$E:$E,'Matriz de Obj. Estrat.'!$B3,'Quadro Geral'!$B:$B,"A")</f>
        <v>0</v>
      </c>
      <c r="I3" s="57">
        <f>C3+E3+G3</f>
        <v>0</v>
      </c>
      <c r="J3" s="65">
        <f>D3+F3+H3</f>
        <v>0</v>
      </c>
      <c r="K3" s="58">
        <f t="shared" ref="K3:K18" si="0">IFERROR(J3/$J$19*100,0)</f>
        <v>0</v>
      </c>
      <c r="M3" s="71" t="s">
        <v>25</v>
      </c>
    </row>
    <row r="4" spans="1:13" ht="30.75" customHeight="1" x14ac:dyDescent="0.35">
      <c r="A4" s="425"/>
      <c r="B4" s="56" t="s">
        <v>133</v>
      </c>
      <c r="C4" s="57">
        <f>COUNTIFS('Quadro Geral'!$E:$E,'Matriz de Obj. Estrat.'!$B4,'Quadro Geral'!$B:$B,"P")</f>
        <v>0</v>
      </c>
      <c r="D4" s="65">
        <f>SUMIFS('Quadro Geral'!$I:$I,'Quadro Geral'!$E:$E,'Matriz de Obj. Estrat.'!$B4,'Quadro Geral'!$B:$B,"P")</f>
        <v>0</v>
      </c>
      <c r="E4" s="57">
        <f>COUNTIFS('Quadro Geral'!$E:$E,'Matriz de Obj. Estrat.'!$B4,'Quadro Geral'!$B:$B,"PE")</f>
        <v>0</v>
      </c>
      <c r="F4" s="65">
        <f>SUMIFS('Quadro Geral'!$I:$I,'Quadro Geral'!$E:$E,'Matriz de Obj. Estrat.'!$B4,'Quadro Geral'!$B:$B,"PE")</f>
        <v>0</v>
      </c>
      <c r="G4" s="57">
        <f>COUNTIFS('Quadro Geral'!$E:$E,'Matriz de Obj. Estrat.'!$B4,'Quadro Geral'!$B:$B,"A")</f>
        <v>1</v>
      </c>
      <c r="H4" s="65">
        <f>SUMIFS('Quadro Geral'!$I:$I,'Quadro Geral'!$E:$E,'Matriz de Obj. Estrat.'!$B4,'Quadro Geral'!$B:$B,"A")</f>
        <v>45000</v>
      </c>
      <c r="I4" s="57">
        <f t="shared" ref="I4:I18" si="1">C4+E4+G4</f>
        <v>1</v>
      </c>
      <c r="J4" s="65">
        <f t="shared" ref="J4:J18" si="2">D4+F4+H4</f>
        <v>45000</v>
      </c>
      <c r="K4" s="58">
        <f t="shared" si="0"/>
        <v>0.25438100621820237</v>
      </c>
      <c r="M4" s="71" t="s">
        <v>22</v>
      </c>
    </row>
    <row r="5" spans="1:13" ht="30.75" customHeight="1" x14ac:dyDescent="0.35">
      <c r="A5" s="418" t="s">
        <v>301</v>
      </c>
      <c r="B5" s="56" t="s">
        <v>20</v>
      </c>
      <c r="C5" s="57">
        <f>COUNTIFS('Quadro Geral'!$E:$E,'Matriz de Obj. Estrat.'!$B5,'Quadro Geral'!$B:$B,"P")</f>
        <v>0</v>
      </c>
      <c r="D5" s="65">
        <f>SUMIFS('Quadro Geral'!$I:$I,'Quadro Geral'!$E:$E,'Matriz de Obj. Estrat.'!$B5,'Quadro Geral'!$B:$B,"P")</f>
        <v>0</v>
      </c>
      <c r="E5" s="57">
        <f>COUNTIFS('Quadro Geral'!$E:$E,'Matriz de Obj. Estrat.'!$B5,'Quadro Geral'!$B:$B,"PE")</f>
        <v>0</v>
      </c>
      <c r="F5" s="65">
        <f>SUMIFS('Quadro Geral'!$I:$I,'Quadro Geral'!$E:$E,'Matriz de Obj. Estrat.'!$B5,'Quadro Geral'!$B:$B,"PE")</f>
        <v>0</v>
      </c>
      <c r="G5" s="57">
        <f>COUNTIFS('Quadro Geral'!$E:$E,'Matriz de Obj. Estrat.'!$B5,'Quadro Geral'!$B:$B,"A")</f>
        <v>4</v>
      </c>
      <c r="H5" s="65">
        <f>SUMIFS('Quadro Geral'!$I:$I,'Quadro Geral'!$E:$E,'Matriz de Obj. Estrat.'!$B5,'Quadro Geral'!$B:$B,"A")</f>
        <v>3293938.79</v>
      </c>
      <c r="I5" s="57">
        <f t="shared" si="1"/>
        <v>4</v>
      </c>
      <c r="J5" s="65">
        <f t="shared" si="2"/>
        <v>3293938.79</v>
      </c>
      <c r="K5" s="58">
        <f t="shared" si="0"/>
        <v>18.620343640474847</v>
      </c>
      <c r="M5" s="71" t="s">
        <v>29</v>
      </c>
    </row>
    <row r="6" spans="1:13" ht="30.75" customHeight="1" x14ac:dyDescent="0.35">
      <c r="A6" s="418"/>
      <c r="B6" s="56" t="s">
        <v>101</v>
      </c>
      <c r="C6" s="57">
        <f>COUNTIFS('Quadro Geral'!$E:$E,'Matriz de Obj. Estrat.'!$B6,'Quadro Geral'!$B:$B,"P")</f>
        <v>0</v>
      </c>
      <c r="D6" s="65">
        <f>SUMIFS('Quadro Geral'!$I:$I,'Quadro Geral'!$E:$E,'Matriz de Obj. Estrat.'!$B6,'Quadro Geral'!$B:$B,"P")</f>
        <v>0</v>
      </c>
      <c r="E6" s="57">
        <f>COUNTIFS('Quadro Geral'!$E:$E,'Matriz de Obj. Estrat.'!$B6,'Quadro Geral'!$B:$B,"PE")</f>
        <v>0</v>
      </c>
      <c r="F6" s="65">
        <f>SUMIFS('Quadro Geral'!$I:$I,'Quadro Geral'!$E:$E,'Matriz de Obj. Estrat.'!$B6,'Quadro Geral'!$B:$B,"PE")</f>
        <v>0</v>
      </c>
      <c r="G6" s="57">
        <f>COUNTIFS('Quadro Geral'!$E:$E,'Matriz de Obj. Estrat.'!$B6,'Quadro Geral'!$B:$B,"A")</f>
        <v>8</v>
      </c>
      <c r="H6" s="65">
        <f>SUMIFS('Quadro Geral'!$I:$I,'Quadro Geral'!$E:$E,'Matriz de Obj. Estrat.'!$B6,'Quadro Geral'!$B:$B,"A")</f>
        <v>3639627.51</v>
      </c>
      <c r="I6" s="57">
        <f t="shared" si="1"/>
        <v>8</v>
      </c>
      <c r="J6" s="65">
        <f t="shared" si="2"/>
        <v>3639627.51</v>
      </c>
      <c r="K6" s="58">
        <f t="shared" si="0"/>
        <v>20.574491294516676</v>
      </c>
    </row>
    <row r="7" spans="1:13" ht="30.75" customHeight="1" x14ac:dyDescent="0.35">
      <c r="A7" s="418"/>
      <c r="B7" s="56" t="s">
        <v>22</v>
      </c>
      <c r="C7" s="57">
        <f>COUNTIFS('Quadro Geral'!$E:$E,'Matriz de Obj. Estrat.'!$B7,'Quadro Geral'!$B:$B,"P")</f>
        <v>0</v>
      </c>
      <c r="D7" s="65">
        <f>SUMIFS('Quadro Geral'!$I:$I,'Quadro Geral'!$E:$E,'Matriz de Obj. Estrat.'!$B7,'Quadro Geral'!$B:$B,"P")</f>
        <v>0</v>
      </c>
      <c r="E7" s="57">
        <f>COUNTIFS('Quadro Geral'!$E:$E,'Matriz de Obj. Estrat.'!$B7,'Quadro Geral'!$B:$B,"PE")</f>
        <v>4</v>
      </c>
      <c r="F7" s="65">
        <f>SUMIFS('Quadro Geral'!$I:$I,'Quadro Geral'!$E:$E,'Matriz de Obj. Estrat.'!$B7,'Quadro Geral'!$B:$B,"PE")</f>
        <v>645000</v>
      </c>
      <c r="G7" s="57">
        <f>COUNTIFS('Quadro Geral'!$E:$E,'Matriz de Obj. Estrat.'!$B7,'Quadro Geral'!$B:$B,"A")</f>
        <v>1</v>
      </c>
      <c r="H7" s="65">
        <f>SUMIFS('Quadro Geral'!$I:$I,'Quadro Geral'!$E:$E,'Matriz de Obj. Estrat.'!$B7,'Quadro Geral'!$B:$B,"A")</f>
        <v>308641.88</v>
      </c>
      <c r="I7" s="57">
        <f t="shared" si="1"/>
        <v>5</v>
      </c>
      <c r="J7" s="65">
        <f t="shared" si="2"/>
        <v>953641.88</v>
      </c>
      <c r="K7" s="58">
        <f t="shared" si="0"/>
        <v>5.3908529112492936</v>
      </c>
    </row>
    <row r="8" spans="1:13" ht="30.75" customHeight="1" x14ac:dyDescent="0.35">
      <c r="A8" s="418"/>
      <c r="B8" s="56" t="s">
        <v>113</v>
      </c>
      <c r="C8" s="57">
        <f>COUNTIFS('Quadro Geral'!$E:$E,'Matriz de Obj. Estrat.'!$B8,'Quadro Geral'!$B:$B,"P")</f>
        <v>0</v>
      </c>
      <c r="D8" s="65">
        <f>SUMIFS('Quadro Geral'!$I:$I,'Quadro Geral'!$E:$E,'Matriz de Obj. Estrat.'!$B8,'Quadro Geral'!$B:$B,"P")</f>
        <v>0</v>
      </c>
      <c r="E8" s="57">
        <f>COUNTIFS('Quadro Geral'!$E:$E,'Matriz de Obj. Estrat.'!$B8,'Quadro Geral'!$B:$B,"PE")</f>
        <v>0</v>
      </c>
      <c r="F8" s="65">
        <f>SUMIFS('Quadro Geral'!$I:$I,'Quadro Geral'!$E:$E,'Matriz de Obj. Estrat.'!$B8,'Quadro Geral'!$B:$B,"PE")</f>
        <v>0</v>
      </c>
      <c r="G8" s="57">
        <f>COUNTIFS('Quadro Geral'!$E:$E,'Matriz de Obj. Estrat.'!$B8,'Quadro Geral'!$B:$B,"A")</f>
        <v>1</v>
      </c>
      <c r="H8" s="65">
        <f>SUMIFS('Quadro Geral'!$I:$I,'Quadro Geral'!$E:$E,'Matriz de Obj. Estrat.'!$B8,'Quadro Geral'!$B:$B,"A")</f>
        <v>168500</v>
      </c>
      <c r="I8" s="57">
        <f t="shared" si="1"/>
        <v>1</v>
      </c>
      <c r="J8" s="65">
        <f t="shared" si="2"/>
        <v>168500</v>
      </c>
      <c r="K8" s="58">
        <f t="shared" si="0"/>
        <v>0.95251554550593553</v>
      </c>
    </row>
    <row r="9" spans="1:13" ht="30.75" customHeight="1" x14ac:dyDescent="0.35">
      <c r="A9" s="418"/>
      <c r="B9" s="56" t="s">
        <v>134</v>
      </c>
      <c r="C9" s="57">
        <f>COUNTIFS('Quadro Geral'!$E:$E,'Matriz de Obj. Estrat.'!$B9,'Quadro Geral'!$B:$B,"P")</f>
        <v>0</v>
      </c>
      <c r="D9" s="65">
        <f>SUMIFS('Quadro Geral'!$I:$I,'Quadro Geral'!$E:$E,'Matriz de Obj. Estrat.'!$B9,'Quadro Geral'!$B:$B,"P")</f>
        <v>0</v>
      </c>
      <c r="E9" s="57">
        <f>COUNTIFS('Quadro Geral'!$E:$E,'Matriz de Obj. Estrat.'!$B9,'Quadro Geral'!$B:$B,"PE")</f>
        <v>0</v>
      </c>
      <c r="F9" s="65">
        <f>SUMIFS('Quadro Geral'!$I:$I,'Quadro Geral'!$E:$E,'Matriz de Obj. Estrat.'!$B9,'Quadro Geral'!$B:$B,"PE")</f>
        <v>0</v>
      </c>
      <c r="G9" s="57">
        <f>COUNTIFS('Quadro Geral'!$E:$E,'Matriz de Obj. Estrat.'!$B9,'Quadro Geral'!$B:$B,"A")</f>
        <v>1</v>
      </c>
      <c r="H9" s="65">
        <f>SUMIFS('Quadro Geral'!$I:$I,'Quadro Geral'!$E:$E,'Matriz de Obj. Estrat.'!$B9,'Quadro Geral'!$B:$B,"A")</f>
        <v>78000</v>
      </c>
      <c r="I9" s="57">
        <f t="shared" si="1"/>
        <v>1</v>
      </c>
      <c r="J9" s="65">
        <f t="shared" si="2"/>
        <v>78000</v>
      </c>
      <c r="K9" s="58">
        <f t="shared" si="0"/>
        <v>0.44092707744488407</v>
      </c>
    </row>
    <row r="10" spans="1:13" ht="30.75" customHeight="1" x14ac:dyDescent="0.35">
      <c r="A10" s="418"/>
      <c r="B10" s="56" t="s">
        <v>107</v>
      </c>
      <c r="C10" s="57">
        <f>COUNTIFS('Quadro Geral'!$E:$E,'Matriz de Obj. Estrat.'!$B10,'Quadro Geral'!$B:$B,"P")</f>
        <v>1</v>
      </c>
      <c r="D10" s="65">
        <f>SUMIFS('Quadro Geral'!$I:$I,'Quadro Geral'!$E:$E,'Matriz de Obj. Estrat.'!$B10,'Quadro Geral'!$B:$B,"P")</f>
        <v>30000</v>
      </c>
      <c r="E10" s="57">
        <f>COUNTIFS('Quadro Geral'!$E:$E,'Matriz de Obj. Estrat.'!$B10,'Quadro Geral'!$B:$B,"PE")</f>
        <v>0</v>
      </c>
      <c r="F10" s="65">
        <f>SUMIFS('Quadro Geral'!$I:$I,'Quadro Geral'!$E:$E,'Matriz de Obj. Estrat.'!$B10,'Quadro Geral'!$B:$B,"PE")</f>
        <v>0</v>
      </c>
      <c r="G10" s="57">
        <f>COUNTIFS('Quadro Geral'!$E:$E,'Matriz de Obj. Estrat.'!$B10,'Quadro Geral'!$B:$B,"A")</f>
        <v>1</v>
      </c>
      <c r="H10" s="65">
        <f>SUMIFS('Quadro Geral'!$I:$I,'Quadro Geral'!$E:$E,'Matriz de Obj. Estrat.'!$B10,'Quadro Geral'!$B:$B,"A")</f>
        <v>67500</v>
      </c>
      <c r="I10" s="57">
        <f t="shared" si="1"/>
        <v>2</v>
      </c>
      <c r="J10" s="65">
        <f t="shared" si="2"/>
        <v>97500</v>
      </c>
      <c r="K10" s="58">
        <f t="shared" si="0"/>
        <v>0.55115884680610516</v>
      </c>
    </row>
    <row r="11" spans="1:13" ht="30.75" customHeight="1" x14ac:dyDescent="0.35">
      <c r="A11" s="418"/>
      <c r="B11" s="56" t="s">
        <v>25</v>
      </c>
      <c r="C11" s="57">
        <f>COUNTIFS('Quadro Geral'!$E:$E,'Matriz de Obj. Estrat.'!$B11,'Quadro Geral'!$B:$B,"P")</f>
        <v>0</v>
      </c>
      <c r="D11" s="65">
        <f>SUMIFS('Quadro Geral'!$I:$I,'Quadro Geral'!$E:$E,'Matriz de Obj. Estrat.'!$B11,'Quadro Geral'!$B:$B,"P")</f>
        <v>0</v>
      </c>
      <c r="E11" s="57">
        <f>COUNTIFS('Quadro Geral'!$E:$E,'Matriz de Obj. Estrat.'!$B11,'Quadro Geral'!$B:$B,"PE")</f>
        <v>0</v>
      </c>
      <c r="F11" s="65">
        <f>SUMIFS('Quadro Geral'!$I:$I,'Quadro Geral'!$E:$E,'Matriz de Obj. Estrat.'!$B11,'Quadro Geral'!$B:$B,"PE")</f>
        <v>0</v>
      </c>
      <c r="G11" s="57">
        <f>COUNTIFS('Quadro Geral'!$E:$E,'Matriz de Obj. Estrat.'!$B11,'Quadro Geral'!$B:$B,"A")</f>
        <v>1</v>
      </c>
      <c r="H11" s="65">
        <f>SUMIFS('Quadro Geral'!$I:$I,'Quadro Geral'!$E:$E,'Matriz de Obj. Estrat.'!$B11,'Quadro Geral'!$B:$B,"A")</f>
        <v>826930.67999999993</v>
      </c>
      <c r="I11" s="57">
        <f t="shared" si="1"/>
        <v>1</v>
      </c>
      <c r="J11" s="65">
        <f t="shared" si="2"/>
        <v>826930.67999999993</v>
      </c>
      <c r="K11" s="58">
        <f t="shared" si="0"/>
        <v>4.6745657433578289</v>
      </c>
    </row>
    <row r="12" spans="1:13" ht="30.75" customHeight="1" x14ac:dyDescent="0.35">
      <c r="A12" s="418"/>
      <c r="B12" s="56" t="s">
        <v>26</v>
      </c>
      <c r="C12" s="57">
        <f>COUNTIFS('Quadro Geral'!$E:$E,'Matriz de Obj. Estrat.'!$B12,'Quadro Geral'!$B:$B,"P")</f>
        <v>1</v>
      </c>
      <c r="D12" s="65">
        <f>SUMIFS('Quadro Geral'!$I:$I,'Quadro Geral'!$E:$E,'Matriz de Obj. Estrat.'!$B12,'Quadro Geral'!$B:$B,"P")</f>
        <v>15000</v>
      </c>
      <c r="E12" s="57">
        <f>COUNTIFS('Quadro Geral'!$E:$E,'Matriz de Obj. Estrat.'!$B12,'Quadro Geral'!$B:$B,"PE")</f>
        <v>0</v>
      </c>
      <c r="F12" s="65">
        <f>SUMIFS('Quadro Geral'!$I:$I,'Quadro Geral'!$E:$E,'Matriz de Obj. Estrat.'!$B12,'Quadro Geral'!$B:$B,"PE")</f>
        <v>0</v>
      </c>
      <c r="G12" s="57">
        <f>COUNTIFS('Quadro Geral'!$E:$E,'Matriz de Obj. Estrat.'!$B12,'Quadro Geral'!$B:$B,"A")</f>
        <v>1</v>
      </c>
      <c r="H12" s="65">
        <f>SUMIFS('Quadro Geral'!$I:$I,'Quadro Geral'!$E:$E,'Matriz de Obj. Estrat.'!$B12,'Quadro Geral'!$B:$B,"A")</f>
        <v>62500</v>
      </c>
      <c r="I12" s="57">
        <f t="shared" si="1"/>
        <v>2</v>
      </c>
      <c r="J12" s="65">
        <f t="shared" si="2"/>
        <v>77500</v>
      </c>
      <c r="K12" s="58">
        <f t="shared" si="0"/>
        <v>0.43810062182023746</v>
      </c>
    </row>
    <row r="13" spans="1:13" ht="30.75" customHeight="1" x14ac:dyDescent="0.35">
      <c r="A13" s="418"/>
      <c r="B13" s="56" t="s">
        <v>27</v>
      </c>
      <c r="C13" s="57">
        <f>COUNTIFS('Quadro Geral'!$E:$E,'Matriz de Obj. Estrat.'!$B13,'Quadro Geral'!$B:$B,"P")</f>
        <v>1</v>
      </c>
      <c r="D13" s="65">
        <f>SUMIFS('Quadro Geral'!$I:$I,'Quadro Geral'!$E:$E,'Matriz de Obj. Estrat.'!$B13,'Quadro Geral'!$B:$B,"P")</f>
        <v>500000</v>
      </c>
      <c r="E13" s="57">
        <f>COUNTIFS('Quadro Geral'!$E:$E,'Matriz de Obj. Estrat.'!$B13,'Quadro Geral'!$B:$B,"PE")</f>
        <v>0</v>
      </c>
      <c r="F13" s="65">
        <f>SUMIFS('Quadro Geral'!$I:$I,'Quadro Geral'!$E:$E,'Matriz de Obj. Estrat.'!$B13,'Quadro Geral'!$B:$B,"PE")</f>
        <v>0</v>
      </c>
      <c r="G13" s="57">
        <f>COUNTIFS('Quadro Geral'!$E:$E,'Matriz de Obj. Estrat.'!$B13,'Quadro Geral'!$B:$B,"A")</f>
        <v>1</v>
      </c>
      <c r="H13" s="65">
        <f>SUMIFS('Quadro Geral'!$I:$I,'Quadro Geral'!$E:$E,'Matriz de Obj. Estrat.'!$B13,'Quadro Geral'!$B:$B,"A")</f>
        <v>61500</v>
      </c>
      <c r="I13" s="57">
        <f t="shared" si="1"/>
        <v>2</v>
      </c>
      <c r="J13" s="65">
        <f t="shared" si="2"/>
        <v>561500</v>
      </c>
      <c r="K13" s="58">
        <f t="shared" si="0"/>
        <v>3.1741096664782367</v>
      </c>
    </row>
    <row r="14" spans="1:13" ht="30.75" customHeight="1" x14ac:dyDescent="0.35">
      <c r="A14" s="418"/>
      <c r="B14" s="56" t="s">
        <v>28</v>
      </c>
      <c r="C14" s="57">
        <f>COUNTIFS('Quadro Geral'!$E:$E,'Matriz de Obj. Estrat.'!$B14,'Quadro Geral'!$B:$B,"P")</f>
        <v>0</v>
      </c>
      <c r="D14" s="65">
        <f>SUMIFS('Quadro Geral'!$I:$I,'Quadro Geral'!$E:$E,'Matriz de Obj. Estrat.'!$B14,'Quadro Geral'!$B:$B,"P")</f>
        <v>0</v>
      </c>
      <c r="E14" s="57">
        <f>COUNTIFS('Quadro Geral'!$E:$E,'Matriz de Obj. Estrat.'!$B14,'Quadro Geral'!$B:$B,"PE")</f>
        <v>0</v>
      </c>
      <c r="F14" s="65">
        <f>SUMIFS('Quadro Geral'!$I:$I,'Quadro Geral'!$E:$E,'Matriz de Obj. Estrat.'!$B14,'Quadro Geral'!$B:$B,"PE")</f>
        <v>0</v>
      </c>
      <c r="G14" s="57">
        <f>COUNTIFS('Quadro Geral'!$E:$E,'Matriz de Obj. Estrat.'!$B14,'Quadro Geral'!$B:$B,"A")</f>
        <v>4</v>
      </c>
      <c r="H14" s="65">
        <f>SUMIFS('Quadro Geral'!$I:$I,'Quadro Geral'!$E:$E,'Matriz de Obj. Estrat.'!$B14,'Quadro Geral'!$B:$B,"A")</f>
        <v>2940166.72</v>
      </c>
      <c r="I14" s="57">
        <f t="shared" si="1"/>
        <v>4</v>
      </c>
      <c r="J14" s="65">
        <f t="shared" si="2"/>
        <v>2940166.72</v>
      </c>
      <c r="K14" s="58">
        <f t="shared" si="0"/>
        <v>16.620501526286038</v>
      </c>
    </row>
    <row r="15" spans="1:13" ht="30.75" customHeight="1" x14ac:dyDescent="0.35">
      <c r="A15" s="418"/>
      <c r="B15" s="56" t="s">
        <v>29</v>
      </c>
      <c r="C15" s="57">
        <f>COUNTIFS('Quadro Geral'!$E:$E,'Matriz de Obj. Estrat.'!$B15,'Quadro Geral'!$B:$B,"P")</f>
        <v>0</v>
      </c>
      <c r="D15" s="65">
        <f>SUMIFS('Quadro Geral'!$I:$I,'Quadro Geral'!$E:$E,'Matriz de Obj. Estrat.'!$B15,'Quadro Geral'!$B:$B,"P")</f>
        <v>0</v>
      </c>
      <c r="E15" s="57">
        <f>COUNTIFS('Quadro Geral'!$E:$E,'Matriz de Obj. Estrat.'!$B15,'Quadro Geral'!$B:$B,"PE")</f>
        <v>0</v>
      </c>
      <c r="F15" s="65">
        <f>SUMIFS('Quadro Geral'!$I:$I,'Quadro Geral'!$E:$E,'Matriz de Obj. Estrat.'!$B15,'Quadro Geral'!$B:$B,"PE")</f>
        <v>0</v>
      </c>
      <c r="G15" s="57">
        <f>COUNTIFS('Quadro Geral'!$E:$E,'Matriz de Obj. Estrat.'!$B15,'Quadro Geral'!$B:$B,"A")</f>
        <v>5</v>
      </c>
      <c r="H15" s="65">
        <f>SUMIFS('Quadro Geral'!$I:$I,'Quadro Geral'!$E:$E,'Matriz de Obj. Estrat.'!$B15,'Quadro Geral'!$B:$B,"A")</f>
        <v>2163890.7999999998</v>
      </c>
      <c r="I15" s="57">
        <f t="shared" si="1"/>
        <v>5</v>
      </c>
      <c r="J15" s="65">
        <f t="shared" si="2"/>
        <v>2163890.7999999998</v>
      </c>
      <c r="K15" s="58">
        <f t="shared" si="0"/>
        <v>12.232282645562464</v>
      </c>
    </row>
    <row r="16" spans="1:13" ht="30.75" customHeight="1" x14ac:dyDescent="0.35">
      <c r="A16" s="418" t="s">
        <v>300</v>
      </c>
      <c r="B16" s="56" t="s">
        <v>30</v>
      </c>
      <c r="C16" s="57">
        <f>COUNTIFS('Quadro Geral'!$E:$E,'Matriz de Obj. Estrat.'!$B16,'Quadro Geral'!$B:$B,"P")</f>
        <v>0</v>
      </c>
      <c r="D16" s="65">
        <f>SUMIFS('Quadro Geral'!$I:$I,'Quadro Geral'!$E:$E,'Matriz de Obj. Estrat.'!$B16,'Quadro Geral'!$B:$B,"P")</f>
        <v>0</v>
      </c>
      <c r="E16" s="57">
        <f>COUNTIFS('Quadro Geral'!$E:$E,'Matriz de Obj. Estrat.'!$B16,'Quadro Geral'!$B:$B,"PE")</f>
        <v>0</v>
      </c>
      <c r="F16" s="65">
        <f>SUMIFS('Quadro Geral'!$I:$I,'Quadro Geral'!$E:$E,'Matriz de Obj. Estrat.'!$B16,'Quadro Geral'!$B:$B,"PE")</f>
        <v>0</v>
      </c>
      <c r="G16" s="57">
        <f>COUNTIFS('Quadro Geral'!$E:$E,'Matriz de Obj. Estrat.'!$B16,'Quadro Geral'!$B:$B,"A")</f>
        <v>1</v>
      </c>
      <c r="H16" s="65">
        <f>SUMIFS('Quadro Geral'!$I:$I,'Quadro Geral'!$E:$E,'Matriz de Obj. Estrat.'!$B16,'Quadro Geral'!$B:$B,"A")</f>
        <v>189000</v>
      </c>
      <c r="I16" s="57">
        <f t="shared" si="1"/>
        <v>1</v>
      </c>
      <c r="J16" s="65">
        <f t="shared" si="2"/>
        <v>189000</v>
      </c>
      <c r="K16" s="58">
        <f t="shared" si="0"/>
        <v>1.06840022611645</v>
      </c>
    </row>
    <row r="17" spans="1:12" ht="30.75" customHeight="1" x14ac:dyDescent="0.35">
      <c r="A17" s="418"/>
      <c r="B17" s="56" t="s">
        <v>31</v>
      </c>
      <c r="C17" s="57">
        <f>COUNTIFS('Quadro Geral'!$E:$E,'Matriz de Obj. Estrat.'!$B17,'Quadro Geral'!$B:$B,"P")</f>
        <v>2</v>
      </c>
      <c r="D17" s="65">
        <f>SUMIFS('Quadro Geral'!$I:$I,'Quadro Geral'!$E:$E,'Matriz de Obj. Estrat.'!$B17,'Quadro Geral'!$B:$B,"P")</f>
        <v>75000</v>
      </c>
      <c r="E17" s="57">
        <f>COUNTIFS('Quadro Geral'!$E:$E,'Matriz de Obj. Estrat.'!$B17,'Quadro Geral'!$B:$B,"PE")</f>
        <v>0</v>
      </c>
      <c r="F17" s="65">
        <f>SUMIFS('Quadro Geral'!$I:$I,'Quadro Geral'!$E:$E,'Matriz de Obj. Estrat.'!$B17,'Quadro Geral'!$B:$B,"PE")</f>
        <v>0</v>
      </c>
      <c r="G17" s="57">
        <f>COUNTIFS('Quadro Geral'!$E:$E,'Matriz de Obj. Estrat.'!$B17,'Quadro Geral'!$B:$B,"A")</f>
        <v>2</v>
      </c>
      <c r="H17" s="65">
        <f>SUMIFS('Quadro Geral'!$I:$I,'Quadro Geral'!$E:$E,'Matriz de Obj. Estrat.'!$B17,'Quadro Geral'!$B:$B,"A")</f>
        <v>2004803.62</v>
      </c>
      <c r="I17" s="57">
        <f t="shared" si="1"/>
        <v>4</v>
      </c>
      <c r="J17" s="65">
        <f t="shared" si="2"/>
        <v>2079803.62</v>
      </c>
      <c r="K17" s="58">
        <f t="shared" si="0"/>
        <v>11.756945279819107</v>
      </c>
    </row>
    <row r="18" spans="1:12" ht="30.75" customHeight="1" x14ac:dyDescent="0.35">
      <c r="A18" s="418"/>
      <c r="B18" s="56" t="s">
        <v>32</v>
      </c>
      <c r="C18" s="57">
        <f>COUNTIFS('Quadro Geral'!$E:$E,'Matriz de Obj. Estrat.'!$B18,'Quadro Geral'!$B:$B,"P")</f>
        <v>1</v>
      </c>
      <c r="D18" s="65">
        <f>SUMIFS('Quadro Geral'!$I:$I,'Quadro Geral'!$E:$E,'Matriz de Obj. Estrat.'!$B18,'Quadro Geral'!$B:$B,"P")</f>
        <v>575000</v>
      </c>
      <c r="E18" s="57">
        <f>COUNTIFS('Quadro Geral'!$E:$E,'Matriz de Obj. Estrat.'!$B18,'Quadro Geral'!$B:$B,"PE")</f>
        <v>0</v>
      </c>
      <c r="F18" s="65">
        <f>SUMIFS('Quadro Geral'!$I:$I,'Quadro Geral'!$E:$E,'Matriz de Obj. Estrat.'!$B18,'Quadro Geral'!$B:$B,"PE")</f>
        <v>0</v>
      </c>
      <c r="G18" s="57">
        <f>COUNTIFS('Quadro Geral'!$E:$E,'Matriz de Obj. Estrat.'!$B18,'Quadro Geral'!$B:$B,"A")</f>
        <v>0</v>
      </c>
      <c r="H18" s="65">
        <f>SUMIFS('Quadro Geral'!$I:$I,'Quadro Geral'!$E:$E,'Matriz de Obj. Estrat.'!$B18,'Quadro Geral'!$B:$B,"A")</f>
        <v>0</v>
      </c>
      <c r="I18" s="57">
        <f t="shared" si="1"/>
        <v>1</v>
      </c>
      <c r="J18" s="65">
        <f t="shared" si="2"/>
        <v>575000</v>
      </c>
      <c r="K18" s="58">
        <f t="shared" si="0"/>
        <v>3.2504239683436973</v>
      </c>
    </row>
    <row r="19" spans="1:12" x14ac:dyDescent="0.35">
      <c r="A19" s="419" t="s">
        <v>6</v>
      </c>
      <c r="B19" s="419"/>
      <c r="C19" s="201">
        <f>SUM(C3:C18)</f>
        <v>6</v>
      </c>
      <c r="D19" s="201">
        <f t="shared" ref="D19:J19" si="3">SUM(D3:D18)</f>
        <v>1195000</v>
      </c>
      <c r="E19" s="201">
        <f t="shared" si="3"/>
        <v>4</v>
      </c>
      <c r="F19" s="201">
        <f t="shared" si="3"/>
        <v>645000</v>
      </c>
      <c r="G19" s="201">
        <f t="shared" si="3"/>
        <v>32</v>
      </c>
      <c r="H19" s="201">
        <f t="shared" si="3"/>
        <v>15850000</v>
      </c>
      <c r="I19" s="201">
        <f t="shared" si="3"/>
        <v>42</v>
      </c>
      <c r="J19" s="201">
        <f t="shared" si="3"/>
        <v>17690000</v>
      </c>
      <c r="K19" s="202">
        <f>SUM(K3:K18)</f>
        <v>100.00000000000001</v>
      </c>
      <c r="L19" s="55"/>
    </row>
    <row r="20" spans="1:12" x14ac:dyDescent="0.35">
      <c r="D20" s="67"/>
      <c r="E20" s="61"/>
      <c r="F20" s="67"/>
      <c r="G20" s="62"/>
      <c r="H20" s="67"/>
      <c r="I20" s="62"/>
      <c r="J20" s="68">
        <f>'Quadro Geral'!I50</f>
        <v>17690000</v>
      </c>
    </row>
    <row r="21" spans="1:12" x14ac:dyDescent="0.35">
      <c r="C21" s="63"/>
      <c r="G21" s="63"/>
      <c r="J21" s="68" t="b">
        <f>J20=J19</f>
        <v>1</v>
      </c>
    </row>
    <row r="22" spans="1:12" hidden="1" x14ac:dyDescent="0.35">
      <c r="E22" s="64"/>
    </row>
    <row r="23" spans="1:12" hidden="1" x14ac:dyDescent="0.35">
      <c r="E23" s="64"/>
      <c r="G23" s="63"/>
    </row>
    <row r="24" spans="1:12" hidden="1" x14ac:dyDescent="0.35">
      <c r="E24" s="64"/>
    </row>
    <row r="25" spans="1:12" hidden="1" x14ac:dyDescent="0.35">
      <c r="A25" s="60"/>
      <c r="I25" s="63"/>
    </row>
    <row r="26" spans="1:12" hidden="1" x14ac:dyDescent="0.35">
      <c r="A26" s="60"/>
      <c r="G26" s="64"/>
      <c r="I26" s="63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Orientações Iniciais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Validação de dados</vt:lpstr>
      <vt:lpstr>Matriz de Obj. Estrat.</vt:lpstr>
      <vt:lpstr>Diretrizes - Resumo</vt:lpstr>
      <vt:lpstr>'Anexo 1. Fontes e Aplicações'!Area_de_impressao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  <vt:lpstr>'Quadro Geral'!Titulos_de_impressao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Ariel Luís Romani Lazzarin</cp:lastModifiedBy>
  <cp:lastPrinted>2022-11-17T15:39:35Z</cp:lastPrinted>
  <dcterms:created xsi:type="dcterms:W3CDTF">2013-07-30T15:20:59Z</dcterms:created>
  <dcterms:modified xsi:type="dcterms:W3CDTF">2022-11-25T18:25:48Z</dcterms:modified>
</cp:coreProperties>
</file>