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192.168.10.10\financeiro\2024\Programação 2024\2ª Correção\"/>
    </mc:Choice>
  </mc:AlternateContent>
  <xr:revisionPtr revIDLastSave="0" documentId="13_ncr:1_{C7D945E3-5126-442D-B4D6-5666BB9E5831}" xr6:coauthVersionLast="47" xr6:coauthVersionMax="47" xr10:uidLastSave="{00000000-0000-0000-0000-000000000000}"/>
  <bookViews>
    <workbookView xWindow="-110" yWindow="-110" windowWidth="19420" windowHeight="10420" tabRatio="962" firstSheet="2" activeTab="2" xr2:uid="{00000000-000D-0000-FFFF-FFFF00000000}"/>
  </bookViews>
  <sheets>
    <sheet name="Diretrizes - Resumo" sheetId="40" r:id="rId1"/>
    <sheet name="Matriz de Obj. Estrat." sheetId="41" r:id="rId2"/>
    <sheet name="Mapa Estratégico e ODS" sheetId="36" r:id="rId3"/>
    <sheet name="Indicadores e Metas" sheetId="39" r:id="rId4"/>
    <sheet name="Quadro Geral" sheetId="15" r:id="rId5"/>
    <sheet name="Anexo 1. Fontes e Aplicações" sheetId="8" r:id="rId6"/>
    <sheet name="Anexo 2. Limites Estratégicos" sheetId="23" r:id="rId7"/>
    <sheet name="Anexo 3. Elemento de Despesas" sheetId="18" r:id="rId8"/>
    <sheet name="Validação de dados" sheetId="31" state="hidden" r:id="rId9"/>
  </sheets>
  <definedNames>
    <definedName name="__xlfn_IFERROR">#N/A</definedName>
    <definedName name="_xlnm._FilterDatabase" localSheetId="7" hidden="1">'Anexo 3. Elemento de Despesas'!$A$6:$XFA$53</definedName>
    <definedName name="_xlnm._FilterDatabase" localSheetId="0" hidden="1">'Diretrizes - Resumo'!$A$3:$T$30</definedName>
    <definedName name="_xlnm._FilterDatabase" localSheetId="3" hidden="1">'Indicadores e Metas'!$A$29:$S$101</definedName>
    <definedName name="_xlnm._FilterDatabase" localSheetId="4" hidden="1">'Quadro Geral'!$A$7:$K$57</definedName>
    <definedName name="A" localSheetId="0">#REF!</definedName>
    <definedName name="A" localSheetId="3">#REF!</definedName>
    <definedName name="A" localSheetId="1">#REF!</definedName>
    <definedName name="A" localSheetId="4">#REF!</definedName>
    <definedName name="A">#REF!</definedName>
    <definedName name="Anexo" localSheetId="3">#REF!</definedName>
    <definedName name="Anexo" localSheetId="1">#REF!</definedName>
    <definedName name="Anexo">#REF!</definedName>
    <definedName name="Anexo_1.4.4" localSheetId="3">#REF!</definedName>
    <definedName name="Anexo_1.4.4" localSheetId="1">#REF!</definedName>
    <definedName name="Anexo_1.4.4">#REF!</definedName>
    <definedName name="ar">#N/A</definedName>
    <definedName name="_xlnm.Print_Area" localSheetId="5">'Anexo 1. Fontes e Aplicações'!$A$2:$G$56</definedName>
    <definedName name="_xlnm.Print_Area" localSheetId="6">'Anexo 2. Limites Estratégicos'!$A$7:$E$41</definedName>
    <definedName name="_xlnm.Print_Area" localSheetId="7">'Anexo 3. Elemento de Despesas'!$A$2:$R$53</definedName>
    <definedName name="_xlnm.Print_Area" localSheetId="3">'Indicadores e Metas'!$A$2:$F$105</definedName>
    <definedName name="_xlnm.Print_Area" localSheetId="2">'Mapa Estratégico e ODS'!$A$2:$K$5</definedName>
    <definedName name="_xlnm.Print_Area" localSheetId="1">'Matriz de Obj. Estrat.'!$A$1:$K$19</definedName>
    <definedName name="_xlnm.Print_Area" localSheetId="4">'Quadro Geral'!$A$2:$K$58</definedName>
    <definedName name="asas" localSheetId="3">#REF!</definedName>
    <definedName name="asas" localSheetId="1">#REF!</definedName>
    <definedName name="asas">#REF!</definedName>
    <definedName name="ass" localSheetId="3">#REF!</definedName>
    <definedName name="ass" localSheetId="1">#REF!</definedName>
    <definedName name="ass">#REF!</definedName>
    <definedName name="_xlnm.Database" localSheetId="0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>#REF!</definedName>
    <definedName name="banco_de_dados_sym" localSheetId="0">#REF!</definedName>
    <definedName name="banco_de_dados_sym" localSheetId="3">#REF!</definedName>
    <definedName name="banco_de_dados_sym" localSheetId="1">#REF!</definedName>
    <definedName name="banco_de_dados_sym">#REF!</definedName>
    <definedName name="Copia" localSheetId="3">#REF!</definedName>
    <definedName name="Copia" localSheetId="1">#REF!</definedName>
    <definedName name="Copia">#REF!</definedName>
    <definedName name="copia2" localSheetId="3">#REF!</definedName>
    <definedName name="copia2" localSheetId="1">#REF!</definedName>
    <definedName name="copia2">#REF!</definedName>
    <definedName name="_xlnm.Criteria" localSheetId="3">#REF!</definedName>
    <definedName name="_xlnm.Criteria" localSheetId="1">#REF!</definedName>
    <definedName name="_xlnm.Criteria">#REF!</definedName>
    <definedName name="dados" localSheetId="3">#REF!</definedName>
    <definedName name="dados" localSheetId="1">#REF!</definedName>
    <definedName name="dados">#REF!</definedName>
    <definedName name="Database" localSheetId="1">#REF!</definedName>
    <definedName name="Database">#REF!</definedName>
    <definedName name="DEZEMBRO" localSheetId="1">#REF!</definedName>
    <definedName name="DEZEMBRO">#REF!</definedName>
    <definedName name="huala" localSheetId="3">#REF!</definedName>
    <definedName name="huala" localSheetId="1">#REF!</definedName>
    <definedName name="huala">#REF!</definedName>
    <definedName name="kk" localSheetId="3">#REF!</definedName>
    <definedName name="kk" localSheetId="1">#REF!</definedName>
    <definedName name="kk">#REF!</definedName>
    <definedName name="Percentual5" localSheetId="0">#REF!</definedName>
    <definedName name="Percentual5">#REF!</definedName>
    <definedName name="PJ2anos" localSheetId="0">#REF!,#REF!</definedName>
    <definedName name="PJ2anos">#REF!,#REF!</definedName>
    <definedName name="PREs">#N/A</definedName>
    <definedName name="Presid">#N/A</definedName>
    <definedName name="_xlnm.Print_Titles" localSheetId="6">'Anexo 2. Limites Estratégicos'!$2:$3</definedName>
    <definedName name="_xlnm.Print_Titles" localSheetId="7">'Anexo 3. Elemento de Despesas'!$2:$6</definedName>
    <definedName name="_xlnm.Print_Titles" localSheetId="3">'Indicadores e Metas'!$2:$3</definedName>
    <definedName name="_xlnm.Print_Titles" localSheetId="4">'Quadro Geral'!$2:$5</definedName>
    <definedName name="X" localSheetId="1">#REF!</definedName>
    <definedName name="X">#REF!</definedName>
    <definedName name="XFE1048575" localSheetId="0">#REF!</definedName>
    <definedName name="XFE1048575" localSheetId="3">#REF!</definedName>
    <definedName name="XFE1048575" localSheetId="1">#REF!</definedName>
    <definedName name="XFE1048575">#REF!</definedName>
    <definedName name="XFe1048576" localSheetId="0">#REF!</definedName>
    <definedName name="XFe1048576" localSheetId="3">#REF!</definedName>
    <definedName name="XFe1048576" localSheetId="1">#REF!</definedName>
    <definedName name="XFe1048576">#REF!</definedName>
  </definedNames>
  <calcPr calcId="191029"/>
  <webPublishing vml="1" allowPng="1" targetScreenSize="1024x768"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8" l="1"/>
  <c r="J39" i="15"/>
  <c r="K39" i="15" s="1"/>
  <c r="F70" i="39"/>
  <c r="I70" i="39"/>
  <c r="H9" i="23"/>
  <c r="H40" i="23"/>
  <c r="H36" i="23"/>
  <c r="H34" i="23"/>
  <c r="H28" i="23"/>
  <c r="J54" i="15"/>
  <c r="K54" i="15" s="1"/>
  <c r="J53" i="15"/>
  <c r="K53" i="15" s="1"/>
  <c r="J52" i="15"/>
  <c r="K52" i="15" s="1"/>
  <c r="J51" i="15"/>
  <c r="K51" i="15" s="1"/>
  <c r="J50" i="15"/>
  <c r="K50" i="15" s="1"/>
  <c r="J49" i="15"/>
  <c r="K49" i="15" s="1"/>
  <c r="J48" i="15"/>
  <c r="K48" i="15" s="1"/>
  <c r="J47" i="15"/>
  <c r="K47" i="15" s="1"/>
  <c r="J46" i="15"/>
  <c r="K46" i="15" s="1"/>
  <c r="J45" i="15"/>
  <c r="K45" i="15" s="1"/>
  <c r="J44" i="15"/>
  <c r="K44" i="15" s="1"/>
  <c r="J43" i="15"/>
  <c r="K43" i="15" s="1"/>
  <c r="J42" i="15"/>
  <c r="K42" i="15" s="1"/>
  <c r="J41" i="15"/>
  <c r="K41" i="15" s="1"/>
  <c r="J40" i="15"/>
  <c r="K40" i="15" s="1"/>
  <c r="J38" i="15"/>
  <c r="K38" i="15" s="1"/>
  <c r="J37" i="15"/>
  <c r="K37" i="15" s="1"/>
  <c r="J36" i="15"/>
  <c r="K36" i="15" s="1"/>
  <c r="J35" i="15"/>
  <c r="K35" i="15" s="1"/>
  <c r="J34" i="15"/>
  <c r="K34" i="15" s="1"/>
  <c r="J33" i="15"/>
  <c r="K33" i="15" s="1"/>
  <c r="J32" i="15"/>
  <c r="K32" i="15" s="1"/>
  <c r="J31" i="15"/>
  <c r="K31" i="15" s="1"/>
  <c r="J30" i="15"/>
  <c r="K30" i="15" s="1"/>
  <c r="J29" i="15"/>
  <c r="K29" i="15" s="1"/>
  <c r="J28" i="15"/>
  <c r="K28" i="15" s="1"/>
  <c r="J27" i="15"/>
  <c r="K27" i="15" s="1"/>
  <c r="J26" i="15"/>
  <c r="K26" i="15" s="1"/>
  <c r="J25" i="15"/>
  <c r="K25" i="15" s="1"/>
  <c r="J24" i="15"/>
  <c r="K24" i="15" s="1"/>
  <c r="J23" i="15"/>
  <c r="K23" i="15" s="1"/>
  <c r="J22" i="15"/>
  <c r="K22" i="15" s="1"/>
  <c r="J21" i="15"/>
  <c r="K21" i="15" s="1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J13" i="15"/>
  <c r="K13" i="15" s="1"/>
  <c r="J12" i="15"/>
  <c r="K12" i="15" s="1"/>
  <c r="J11" i="15"/>
  <c r="K11" i="15" s="1"/>
  <c r="J10" i="15"/>
  <c r="K10" i="15" s="1"/>
  <c r="J9" i="15"/>
  <c r="K9" i="15" s="1"/>
  <c r="L37" i="15"/>
  <c r="L35" i="15"/>
  <c r="L33" i="15"/>
  <c r="J8" i="15"/>
  <c r="K8" i="15" s="1"/>
  <c r="F49" i="18"/>
  <c r="C11" i="18"/>
  <c r="D29" i="8" l="1"/>
  <c r="D28" i="8"/>
  <c r="T8" i="18" l="1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7" i="18"/>
  <c r="F77" i="39" l="1"/>
  <c r="F81" i="39"/>
  <c r="F79" i="39"/>
  <c r="O48" i="18"/>
  <c r="Q48" i="18" s="1"/>
  <c r="I55" i="15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5" i="18"/>
  <c r="D28" i="18"/>
  <c r="D29" i="18"/>
  <c r="D31" i="18"/>
  <c r="D33" i="18"/>
  <c r="D34" i="18"/>
  <c r="D43" i="18"/>
  <c r="D44" i="18"/>
  <c r="D45" i="18"/>
  <c r="D46" i="18"/>
  <c r="D47" i="18"/>
  <c r="D48" i="18"/>
  <c r="C8" i="18"/>
  <c r="C9" i="18"/>
  <c r="C10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D7" i="18"/>
  <c r="C7" i="18"/>
  <c r="B7" i="18"/>
  <c r="A7" i="18"/>
  <c r="S48" i="18" l="1"/>
  <c r="F104" i="39"/>
  <c r="E104" i="39"/>
  <c r="F102" i="39"/>
  <c r="E102" i="39"/>
  <c r="F101" i="39"/>
  <c r="E101" i="39"/>
  <c r="F99" i="39"/>
  <c r="E99" i="39"/>
  <c r="F97" i="39"/>
  <c r="E97" i="39"/>
  <c r="F94" i="39"/>
  <c r="E94" i="39"/>
  <c r="F90" i="39"/>
  <c r="E90" i="39"/>
  <c r="F88" i="39"/>
  <c r="E88" i="39"/>
  <c r="F87" i="39"/>
  <c r="E87" i="39"/>
  <c r="E85" i="39"/>
  <c r="E83" i="39"/>
  <c r="E81" i="39"/>
  <c r="E79" i="39"/>
  <c r="E77" i="39"/>
  <c r="F76" i="39"/>
  <c r="E76" i="39"/>
  <c r="F74" i="39"/>
  <c r="E74" i="39"/>
  <c r="F72" i="39"/>
  <c r="E72" i="39"/>
  <c r="E70" i="39"/>
  <c r="F69" i="39"/>
  <c r="E69" i="39"/>
  <c r="F67" i="39"/>
  <c r="E67" i="39"/>
  <c r="F65" i="39"/>
  <c r="E65" i="39"/>
  <c r="F62" i="39"/>
  <c r="E62" i="39"/>
  <c r="F59" i="39"/>
  <c r="E59" i="39"/>
  <c r="F57" i="39"/>
  <c r="E57" i="39"/>
  <c r="F55" i="39"/>
  <c r="E55" i="39"/>
  <c r="F53" i="39"/>
  <c r="E53" i="39"/>
  <c r="F50" i="39"/>
  <c r="E50" i="39"/>
  <c r="F48" i="39"/>
  <c r="E48" i="39"/>
  <c r="F46" i="39"/>
  <c r="E46" i="39"/>
  <c r="F44" i="39"/>
  <c r="E44" i="39"/>
  <c r="F42" i="39"/>
  <c r="E42" i="39"/>
  <c r="F39" i="39"/>
  <c r="E39" i="39"/>
  <c r="F35" i="39"/>
  <c r="E35" i="39"/>
  <c r="F33" i="39"/>
  <c r="E33" i="39"/>
  <c r="F32" i="39"/>
  <c r="E32" i="39"/>
  <c r="F24" i="39"/>
  <c r="E24" i="39"/>
  <c r="F22" i="39"/>
  <c r="E22" i="39"/>
  <c r="F18" i="39"/>
  <c r="E18" i="39"/>
  <c r="F16" i="39"/>
  <c r="E16" i="39"/>
  <c r="F14" i="39"/>
  <c r="E14" i="39"/>
  <c r="F12" i="39"/>
  <c r="E12" i="39"/>
  <c r="F11" i="39"/>
  <c r="E11" i="39"/>
  <c r="F7" i="39"/>
  <c r="E7" i="39"/>
  <c r="D30" i="8" l="1"/>
  <c r="D27" i="8" s="1"/>
  <c r="D34" i="8" s="1"/>
  <c r="I56" i="15" s="1"/>
  <c r="D40" i="18" l="1"/>
  <c r="E40" i="23"/>
  <c r="D30" i="18"/>
  <c r="D22" i="18"/>
  <c r="D15" i="23" l="1"/>
  <c r="D42" i="18"/>
  <c r="D41" i="18"/>
  <c r="D39" i="18"/>
  <c r="D38" i="18"/>
  <c r="D37" i="18"/>
  <c r="D36" i="18"/>
  <c r="D35" i="18"/>
  <c r="D32" i="18"/>
  <c r="D27" i="18"/>
  <c r="D26" i="18"/>
  <c r="D24" i="18"/>
  <c r="D23" i="18"/>
  <c r="D21" i="18"/>
  <c r="E34" i="23"/>
  <c r="H55" i="15"/>
  <c r="J55" i="15" s="1"/>
  <c r="K55" i="15" s="1"/>
  <c r="D36" i="23"/>
  <c r="E36" i="23"/>
  <c r="C3" i="41"/>
  <c r="C4" i="41" l="1"/>
  <c r="G49" i="18"/>
  <c r="H49" i="18"/>
  <c r="I49" i="18"/>
  <c r="J49" i="18"/>
  <c r="K49" i="18"/>
  <c r="L49" i="18"/>
  <c r="M49" i="18"/>
  <c r="N49" i="18"/>
  <c r="P49" i="18"/>
  <c r="O8" i="18"/>
  <c r="Q8" i="18" s="1"/>
  <c r="O9" i="18"/>
  <c r="Q9" i="18" s="1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O25" i="18"/>
  <c r="Q25" i="18" s="1"/>
  <c r="O28" i="18"/>
  <c r="Q28" i="18" s="1"/>
  <c r="O29" i="18"/>
  <c r="Q29" i="18" s="1"/>
  <c r="O31" i="18"/>
  <c r="Q31" i="18" s="1"/>
  <c r="O33" i="18"/>
  <c r="Q33" i="18" s="1"/>
  <c r="O34" i="18"/>
  <c r="Q34" i="18" s="1"/>
  <c r="O44" i="18"/>
  <c r="Q44" i="18" s="1"/>
  <c r="O45" i="18"/>
  <c r="Q45" i="18" s="1"/>
  <c r="O46" i="18"/>
  <c r="Q46" i="18" s="1"/>
  <c r="O47" i="18"/>
  <c r="Q47" i="18" s="1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4" i="8"/>
  <c r="F24" i="8" s="1"/>
  <c r="AI21" i="40"/>
  <c r="E12" i="23" l="1"/>
  <c r="D12" i="23"/>
  <c r="E7" i="23"/>
  <c r="D7" i="23"/>
  <c r="E25" i="23"/>
  <c r="D25" i="23"/>
  <c r="O7" i="18" l="1"/>
  <c r="Q7" i="18" l="1"/>
  <c r="B5" i="18"/>
  <c r="A2" i="23"/>
  <c r="A2" i="8"/>
  <c r="A2" i="18"/>
  <c r="E43" i="8"/>
  <c r="D14" i="8"/>
  <c r="D11" i="8"/>
  <c r="D10" i="8" l="1"/>
  <c r="D11" i="40"/>
  <c r="D9" i="8" l="1"/>
  <c r="D5" i="40"/>
  <c r="G5" i="40"/>
  <c r="D6" i="40"/>
  <c r="D7" i="40"/>
  <c r="G7" i="40"/>
  <c r="D8" i="40"/>
  <c r="G8" i="40"/>
  <c r="D9" i="40"/>
  <c r="G9" i="40"/>
  <c r="D10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D4" i="41"/>
  <c r="E4" i="41"/>
  <c r="F4" i="41"/>
  <c r="G4" i="41"/>
  <c r="C5" i="41"/>
  <c r="D5" i="41"/>
  <c r="E5" i="41"/>
  <c r="F5" i="41"/>
  <c r="G5" i="41"/>
  <c r="C6" i="41"/>
  <c r="D6" i="41"/>
  <c r="E6" i="41"/>
  <c r="F6" i="41"/>
  <c r="G6" i="41"/>
  <c r="C7" i="41"/>
  <c r="E7" i="41"/>
  <c r="G7" i="41"/>
  <c r="C8" i="41"/>
  <c r="D8" i="41"/>
  <c r="E8" i="41"/>
  <c r="F8" i="41"/>
  <c r="G8" i="41"/>
  <c r="C9" i="41"/>
  <c r="D9" i="41"/>
  <c r="E9" i="41"/>
  <c r="G9" i="41"/>
  <c r="C10" i="41"/>
  <c r="E10" i="41"/>
  <c r="F10" i="41"/>
  <c r="G10" i="41"/>
  <c r="C11" i="41"/>
  <c r="E11" i="41"/>
  <c r="G11" i="41"/>
  <c r="C12" i="41"/>
  <c r="E12" i="41"/>
  <c r="F12" i="41"/>
  <c r="G12" i="41"/>
  <c r="C13" i="41"/>
  <c r="E13" i="41"/>
  <c r="F13" i="41"/>
  <c r="G13" i="41"/>
  <c r="C14" i="41"/>
  <c r="D14" i="41"/>
  <c r="E14" i="41"/>
  <c r="F14" i="41"/>
  <c r="G14" i="41"/>
  <c r="C15" i="41"/>
  <c r="D15" i="41"/>
  <c r="E15" i="41"/>
  <c r="G15" i="41"/>
  <c r="C16" i="41"/>
  <c r="D16" i="41"/>
  <c r="E16" i="41"/>
  <c r="F16" i="41"/>
  <c r="G16" i="41"/>
  <c r="C17" i="41"/>
  <c r="D17" i="41"/>
  <c r="E17" i="41"/>
  <c r="G17" i="41"/>
  <c r="C18" i="41"/>
  <c r="E18" i="41"/>
  <c r="F18" i="41"/>
  <c r="G18" i="41"/>
  <c r="H18" i="41"/>
  <c r="H3" i="41"/>
  <c r="G3" i="41"/>
  <c r="F3" i="41"/>
  <c r="E3" i="41"/>
  <c r="D3" i="41"/>
  <c r="I4" i="41" l="1"/>
  <c r="AB32" i="40"/>
  <c r="AC32" i="40" s="1"/>
  <c r="AD32" i="40" s="1"/>
  <c r="AE32" i="40" s="1"/>
  <c r="AF32" i="40" s="1"/>
  <c r="D8" i="8"/>
  <c r="AL8" i="40"/>
  <c r="B51" i="8" s="1"/>
  <c r="AI23" i="40"/>
  <c r="AI11" i="40"/>
  <c r="AI16" i="40"/>
  <c r="AI22" i="40"/>
  <c r="AI10" i="40"/>
  <c r="AL6" i="40"/>
  <c r="AI8" i="40"/>
  <c r="AL5" i="40"/>
  <c r="AI20" i="40"/>
  <c r="AI7" i="40"/>
  <c r="AL4" i="40"/>
  <c r="AI19" i="40"/>
  <c r="AL3" i="40"/>
  <c r="AI15" i="40"/>
  <c r="I20" i="8" s="1"/>
  <c r="J20" i="8" s="1"/>
  <c r="AI27" i="40"/>
  <c r="AI13" i="40"/>
  <c r="AI24" i="40"/>
  <c r="AI12" i="40"/>
  <c r="G30" i="40"/>
  <c r="G26" i="40"/>
  <c r="G22" i="40"/>
  <c r="G18" i="40"/>
  <c r="G14" i="40"/>
  <c r="G10" i="40"/>
  <c r="G6" i="40"/>
  <c r="G27" i="40"/>
  <c r="G23" i="40"/>
  <c r="G19" i="40"/>
  <c r="G15" i="40"/>
  <c r="G11" i="40"/>
  <c r="J11" i="40" s="1"/>
  <c r="I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I17" i="41"/>
  <c r="J3" i="41"/>
  <c r="I3" i="41"/>
  <c r="C19" i="41"/>
  <c r="K20" i="8" l="1"/>
  <c r="AI9" i="40"/>
  <c r="E19" i="41"/>
  <c r="I19" i="41" l="1"/>
  <c r="G19" i="41"/>
  <c r="I15" i="8" l="1"/>
  <c r="AL7" i="40"/>
  <c r="I23" i="8" l="1"/>
  <c r="J23" i="8" s="1"/>
  <c r="K15" i="8"/>
  <c r="J15" i="8"/>
  <c r="G4" i="40"/>
  <c r="I12" i="8"/>
  <c r="I17" i="8"/>
  <c r="I18" i="8"/>
  <c r="I13" i="8"/>
  <c r="J6" i="40"/>
  <c r="J24" i="40"/>
  <c r="J8" i="40"/>
  <c r="J25" i="40"/>
  <c r="J22" i="40"/>
  <c r="J9" i="40"/>
  <c r="D4" i="40"/>
  <c r="J4" i="40" s="1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J30" i="40"/>
  <c r="K13" i="8" l="1"/>
  <c r="J13" i="8"/>
  <c r="K17" i="8"/>
  <c r="J17" i="8"/>
  <c r="J18" i="8"/>
  <c r="K18" i="8"/>
  <c r="I11" i="8"/>
  <c r="J12" i="8"/>
  <c r="K12" i="8"/>
  <c r="I16" i="8"/>
  <c r="AI6" i="40"/>
  <c r="J28" i="40"/>
  <c r="J26" i="40"/>
  <c r="J14" i="40"/>
  <c r="AI5" i="40" l="1"/>
  <c r="AI4" i="40" s="1"/>
  <c r="AI3" i="40" s="1"/>
  <c r="J16" i="8"/>
  <c r="K16" i="8"/>
  <c r="I14" i="8"/>
  <c r="A51" i="18"/>
  <c r="D13" i="23"/>
  <c r="J11" i="8" l="1"/>
  <c r="K11" i="8"/>
  <c r="I10" i="8"/>
  <c r="I9" i="8" s="1"/>
  <c r="J9" i="8" s="1"/>
  <c r="A2" i="15" l="1"/>
  <c r="E20" i="23" l="1"/>
  <c r="D20" i="23"/>
  <c r="F20" i="23" l="1"/>
  <c r="K10" i="8"/>
  <c r="J14" i="8"/>
  <c r="K14" i="8"/>
  <c r="F42" i="8"/>
  <c r="G42" i="8" s="1"/>
  <c r="J10" i="8" l="1"/>
  <c r="C22" i="8"/>
  <c r="C14" i="8"/>
  <c r="E14" i="8" l="1"/>
  <c r="F14" i="8" s="1"/>
  <c r="K9" i="8"/>
  <c r="E19" i="23"/>
  <c r="E10" i="23" l="1"/>
  <c r="C41" i="8"/>
  <c r="B46" i="8"/>
  <c r="E11" i="23" l="1"/>
  <c r="C47" i="8"/>
  <c r="B52" i="8" s="1"/>
  <c r="B54" i="8" s="1"/>
  <c r="B53" i="8" l="1"/>
  <c r="B42" i="8" l="1"/>
  <c r="C11" i="8"/>
  <c r="E11" i="8" l="1"/>
  <c r="F11" i="8" s="1"/>
  <c r="C10" i="8"/>
  <c r="E10" i="8" l="1"/>
  <c r="F10" i="8" s="1"/>
  <c r="C9" i="8"/>
  <c r="D19" i="23" l="1"/>
  <c r="E9" i="8"/>
  <c r="F9" i="8" s="1"/>
  <c r="C8" i="8"/>
  <c r="E21" i="23"/>
  <c r="E8" i="8" l="1"/>
  <c r="F8" i="8" s="1"/>
  <c r="D21" i="23"/>
  <c r="F19" i="23"/>
  <c r="D10" i="23"/>
  <c r="B41" i="8"/>
  <c r="D41" i="8" s="1"/>
  <c r="C25" i="8"/>
  <c r="C35" i="8" l="1"/>
  <c r="D11" i="23"/>
  <c r="F10" i="23"/>
  <c r="F21" i="23"/>
  <c r="D14" i="23"/>
  <c r="B43" i="8"/>
  <c r="H10" i="41" l="1"/>
  <c r="O22" i="18" l="1"/>
  <c r="Q22" i="18" s="1"/>
  <c r="O23" i="18"/>
  <c r="Q23" i="18" s="1"/>
  <c r="O24" i="18"/>
  <c r="Q24" i="18" s="1"/>
  <c r="O26" i="18"/>
  <c r="Q26" i="18" s="1"/>
  <c r="O27" i="18"/>
  <c r="Q27" i="18" s="1"/>
  <c r="O30" i="18"/>
  <c r="Q30" i="18" s="1"/>
  <c r="O32" i="18"/>
  <c r="Q32" i="18" s="1"/>
  <c r="O35" i="18"/>
  <c r="Q35" i="18" s="1"/>
  <c r="O36" i="18"/>
  <c r="Q36" i="18" s="1"/>
  <c r="O37" i="18"/>
  <c r="Q37" i="18" s="1"/>
  <c r="O38" i="18"/>
  <c r="Q38" i="18" s="1"/>
  <c r="O39" i="18"/>
  <c r="Q39" i="18" s="1"/>
  <c r="O40" i="18"/>
  <c r="Q40" i="18" s="1"/>
  <c r="O41" i="18"/>
  <c r="Q41" i="18" s="1"/>
  <c r="O42" i="18"/>
  <c r="Q42" i="18" s="1"/>
  <c r="O43" i="18"/>
  <c r="Q43" i="18" s="1"/>
  <c r="E8" i="23" l="1"/>
  <c r="O21" i="18"/>
  <c r="F8" i="23" l="1"/>
  <c r="F51" i="18"/>
  <c r="Q21" i="18"/>
  <c r="Q49" i="18" s="1"/>
  <c r="R48" i="18" s="1"/>
  <c r="O49" i="18"/>
  <c r="F41" i="8" l="1"/>
  <c r="B47" i="8"/>
  <c r="R21" i="18" l="1"/>
  <c r="O50" i="18"/>
  <c r="G41" i="8"/>
  <c r="F43" i="8"/>
  <c r="G43" i="8" s="1"/>
  <c r="D47" i="8"/>
  <c r="B48" i="8"/>
  <c r="R34" i="18"/>
  <c r="R8" i="18"/>
  <c r="R29" i="18"/>
  <c r="J50" i="18"/>
  <c r="R14" i="18"/>
  <c r="N50" i="18"/>
  <c r="R20" i="18"/>
  <c r="R13" i="18"/>
  <c r="R44" i="18"/>
  <c r="P50" i="18"/>
  <c r="G50" i="18"/>
  <c r="R47" i="18"/>
  <c r="R11" i="18"/>
  <c r="R18" i="18"/>
  <c r="R10" i="18"/>
  <c r="R31" i="18"/>
  <c r="K50" i="18"/>
  <c r="R19" i="18"/>
  <c r="L50" i="18"/>
  <c r="R17" i="18"/>
  <c r="R28" i="18"/>
  <c r="R7" i="18"/>
  <c r="M50" i="18"/>
  <c r="R9" i="18"/>
  <c r="R12" i="18"/>
  <c r="R15" i="18"/>
  <c r="R25" i="18"/>
  <c r="R33" i="18"/>
  <c r="I50" i="18"/>
  <c r="R16" i="18"/>
  <c r="H50" i="18"/>
  <c r="R45" i="18"/>
  <c r="R46" i="18"/>
  <c r="O51" i="18"/>
  <c r="R36" i="18"/>
  <c r="R22" i="18"/>
  <c r="R42" i="18"/>
  <c r="R40" i="18"/>
  <c r="R43" i="18"/>
  <c r="R30" i="18"/>
  <c r="R26" i="18"/>
  <c r="R24" i="18"/>
  <c r="R37" i="18"/>
  <c r="R39" i="18"/>
  <c r="R27" i="18"/>
  <c r="R23" i="18"/>
  <c r="R38" i="18"/>
  <c r="R32" i="18"/>
  <c r="R41" i="18"/>
  <c r="R35" i="18"/>
  <c r="F50" i="18"/>
  <c r="Q50" i="18" l="1"/>
  <c r="R49" i="18"/>
  <c r="F9" i="23" l="1"/>
  <c r="E13" i="23"/>
  <c r="F13" i="23" l="1"/>
  <c r="E14" i="23"/>
  <c r="F14" i="23" s="1"/>
  <c r="F11" i="41" l="1"/>
  <c r="S46" i="18"/>
  <c r="F15" i="41" l="1"/>
  <c r="S47" i="18"/>
  <c r="F9" i="41"/>
  <c r="S26" i="18" l="1"/>
  <c r="S42" i="18" l="1"/>
  <c r="S15" i="18" l="1"/>
  <c r="S21" i="18"/>
  <c r="S43" i="18" l="1"/>
  <c r="F17" i="41" l="1"/>
  <c r="S45" i="18"/>
  <c r="D11" i="41"/>
  <c r="S44" i="18"/>
  <c r="H4" i="41"/>
  <c r="J4" i="41" s="1"/>
  <c r="S32" i="18"/>
  <c r="D10" i="41"/>
  <c r="J10" i="41" s="1"/>
  <c r="S19" i="18"/>
  <c r="S8" i="18"/>
  <c r="H12" i="41"/>
  <c r="H8" i="41"/>
  <c r="J8" i="41" s="1"/>
  <c r="S30" i="18"/>
  <c r="H6" i="41"/>
  <c r="J6" i="41" s="1"/>
  <c r="S29" i="18"/>
  <c r="S17" i="18"/>
  <c r="F7" i="41"/>
  <c r="S28" i="18"/>
  <c r="D7" i="41"/>
  <c r="S16" i="18"/>
  <c r="S18" i="18"/>
  <c r="D13" i="41"/>
  <c r="S41" i="18"/>
  <c r="S40" i="18"/>
  <c r="S27" i="18"/>
  <c r="S39" i="18"/>
  <c r="S25" i="18"/>
  <c r="D18" i="41"/>
  <c r="J18" i="41" s="1"/>
  <c r="S14" i="18"/>
  <c r="H7" i="41"/>
  <c r="S38" i="18"/>
  <c r="S24" i="18"/>
  <c r="H17" i="41"/>
  <c r="H13" i="41"/>
  <c r="S13" i="18"/>
  <c r="S12" i="18"/>
  <c r="H9" i="41"/>
  <c r="J9" i="41" s="1"/>
  <c r="S31" i="18"/>
  <c r="S37" i="18"/>
  <c r="H11" i="41"/>
  <c r="S22" i="18"/>
  <c r="S11" i="18"/>
  <c r="H15" i="41"/>
  <c r="J15" i="41" s="1"/>
  <c r="S23" i="18"/>
  <c r="S36" i="18"/>
  <c r="S34" i="18"/>
  <c r="H16" i="41"/>
  <c r="J16" i="41" s="1"/>
  <c r="S20" i="18"/>
  <c r="S10" i="18"/>
  <c r="S33" i="18"/>
  <c r="D12" i="41"/>
  <c r="S9" i="18"/>
  <c r="H5" i="41"/>
  <c r="E38" i="23" l="1"/>
  <c r="E30" i="23"/>
  <c r="J11" i="41"/>
  <c r="H32" i="23" s="1"/>
  <c r="F19" i="41"/>
  <c r="J17" i="41"/>
  <c r="J12" i="41"/>
  <c r="J13" i="41"/>
  <c r="E28" i="23" s="1"/>
  <c r="S7" i="18"/>
  <c r="E15" i="23"/>
  <c r="D19" i="41"/>
  <c r="J7" i="41"/>
  <c r="H30" i="23"/>
  <c r="J5" i="41"/>
  <c r="E26" i="23" s="1"/>
  <c r="E22" i="23"/>
  <c r="E32" i="23" l="1"/>
  <c r="E16" i="23"/>
  <c r="K21" i="41"/>
  <c r="E23" i="23"/>
  <c r="B55" i="8"/>
  <c r="B56" i="8"/>
  <c r="H26" i="23"/>
  <c r="E41" i="23" l="1"/>
  <c r="E29" i="23"/>
  <c r="E35" i="23"/>
  <c r="E37" i="23"/>
  <c r="E33" i="23"/>
  <c r="H38" i="23"/>
  <c r="E31" i="23"/>
  <c r="E27" i="23"/>
  <c r="E39" i="23" l="1"/>
  <c r="D16" i="23" l="1"/>
  <c r="F16" i="23" s="1"/>
  <c r="F15" i="23"/>
  <c r="P51" i="18" l="1"/>
  <c r="E23" i="8" l="1"/>
  <c r="F23" i="8" s="1"/>
  <c r="K23" i="8"/>
  <c r="D22" i="8"/>
  <c r="F32" i="23"/>
  <c r="E29" i="8"/>
  <c r="F29" i="8" s="1"/>
  <c r="E32" i="8"/>
  <c r="F32" i="8" s="1"/>
  <c r="C42" i="8" l="1"/>
  <c r="E22" i="8"/>
  <c r="F22" i="8" s="1"/>
  <c r="D25" i="8"/>
  <c r="D35" i="8" s="1"/>
  <c r="C46" i="8"/>
  <c r="F38" i="23"/>
  <c r="D22" i="23"/>
  <c r="E31" i="8"/>
  <c r="F31" i="8" s="1"/>
  <c r="E28" i="8"/>
  <c r="F28" i="8" s="1"/>
  <c r="F30" i="23"/>
  <c r="F36" i="23"/>
  <c r="F34" i="23"/>
  <c r="F26" i="23"/>
  <c r="D40" i="23"/>
  <c r="E33" i="8"/>
  <c r="F33" i="8" s="1"/>
  <c r="F28" i="23"/>
  <c r="D46" i="8" l="1"/>
  <c r="D48" i="8" s="1"/>
  <c r="C48" i="8"/>
  <c r="G22" i="8"/>
  <c r="G20" i="8"/>
  <c r="G17" i="8"/>
  <c r="E25" i="8"/>
  <c r="F25" i="8" s="1"/>
  <c r="G14" i="8"/>
  <c r="G13" i="8"/>
  <c r="G18" i="8"/>
  <c r="G9" i="8"/>
  <c r="G12" i="8"/>
  <c r="G24" i="8"/>
  <c r="G19" i="8"/>
  <c r="G21" i="8"/>
  <c r="G15" i="8"/>
  <c r="G11" i="8"/>
  <c r="G25" i="8"/>
  <c r="G10" i="8"/>
  <c r="G8" i="8"/>
  <c r="G16" i="8"/>
  <c r="G23" i="8"/>
  <c r="D42" i="8"/>
  <c r="C43" i="8"/>
  <c r="D43" i="8" s="1"/>
  <c r="F40" i="23"/>
  <c r="D23" i="23"/>
  <c r="F22" i="23"/>
  <c r="F23" i="23" l="1"/>
  <c r="D33" i="23"/>
  <c r="F33" i="23" s="1"/>
  <c r="D39" i="23"/>
  <c r="D27" i="23"/>
  <c r="F27" i="23" s="1"/>
  <c r="D29" i="23"/>
  <c r="F29" i="23" s="1"/>
  <c r="D31" i="23"/>
  <c r="F31" i="23" s="1"/>
  <c r="D37" i="23"/>
  <c r="F37" i="23" s="1"/>
  <c r="D35" i="23"/>
  <c r="F35" i="23" s="1"/>
  <c r="D41" i="23"/>
  <c r="F39" i="23" l="1"/>
  <c r="F41" i="23"/>
  <c r="C36" i="8"/>
  <c r="H14" i="41" l="1"/>
  <c r="Q51" i="18" l="1"/>
  <c r="J20" i="41"/>
  <c r="J14" i="41"/>
  <c r="H19" i="41"/>
  <c r="E30" i="8"/>
  <c r="F30" i="8" s="1"/>
  <c r="S35" i="18"/>
  <c r="D49" i="18"/>
  <c r="S49" i="18" l="1"/>
  <c r="D51" i="18"/>
  <c r="E27" i="8"/>
  <c r="F27" i="8" s="1"/>
  <c r="J19" i="41"/>
  <c r="J21" i="41" s="1"/>
  <c r="K4" i="41" l="1"/>
  <c r="K3" i="41"/>
  <c r="K18" i="41"/>
  <c r="K16" i="41"/>
  <c r="K6" i="41"/>
  <c r="K10" i="41"/>
  <c r="K9" i="41"/>
  <c r="K11" i="41"/>
  <c r="K15" i="41"/>
  <c r="K8" i="41"/>
  <c r="K12" i="41"/>
  <c r="K17" i="41"/>
  <c r="K5" i="41"/>
  <c r="K13" i="41"/>
  <c r="K7" i="41"/>
  <c r="K14" i="41"/>
  <c r="G27" i="8"/>
  <c r="D36" i="8"/>
  <c r="G34" i="8"/>
  <c r="E34" i="8"/>
  <c r="G28" i="8"/>
  <c r="G32" i="8"/>
  <c r="G29" i="8"/>
  <c r="G31" i="8"/>
  <c r="G33" i="8"/>
  <c r="G30" i="8"/>
  <c r="E35" i="8" l="1"/>
  <c r="F34" i="8"/>
  <c r="K1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</author>
  </authors>
  <commentList>
    <comment ref="AK7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Marcos:</t>
        </r>
        <r>
          <rPr>
            <sz val="9"/>
            <color indexed="81"/>
            <rFont val="Segoe UI"/>
            <family val="2"/>
          </rPr>
          <t xml:space="preserve">
Apenas na Reprogramação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</author>
  </authors>
  <commentList>
    <comment ref="F70" authorId="0" shapeId="0" xr:uid="{BFBA7E7D-9A15-46E1-B7EB-F21965607E37}">
      <text>
        <r>
          <rPr>
            <b/>
            <sz val="9"/>
            <color indexed="81"/>
            <rFont val="Segoe UI"/>
            <family val="2"/>
          </rPr>
          <t>Marcos:</t>
        </r>
        <r>
          <rPr>
            <sz val="9"/>
            <color indexed="81"/>
            <rFont val="Segoe UI"/>
            <family val="2"/>
          </rPr>
          <t xml:space="preserve">
Quantidade de RRT está divergetne do aprovado nas diretrizes 2024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</authors>
  <commentList>
    <comment ref="A6" authorId="0" shapeId="0" xr:uid="{00000000-0006-0000-0500-000001000000}">
      <text>
        <r>
          <rPr>
            <b/>
            <sz val="14"/>
            <color indexed="81"/>
            <rFont val="Calibri"/>
            <family val="2"/>
            <scheme val="minor"/>
          </rPr>
          <t>Área ou setor responsável pela Atividade ou Projeto</t>
        </r>
      </text>
    </comment>
    <comment ref="B6" authorId="0" shapeId="0" xr:uid="{00000000-0006-0000-0500-000002000000}">
      <text>
        <r>
          <rPr>
            <b/>
            <sz val="14"/>
            <color indexed="81"/>
            <rFont val="Calibri"/>
            <family val="2"/>
            <scheme val="minor"/>
          </rPr>
          <t>P= Projeto                                        
 A= Atividade 
PE= Projeto Estratégico</t>
        </r>
      </text>
    </comment>
    <comment ref="C6" authorId="0" shapeId="0" xr:uid="{00000000-0006-0000-0500-000003000000}">
      <text>
        <r>
          <rPr>
            <b/>
            <sz val="14"/>
            <color indexed="81"/>
            <rFont val="Calibri"/>
            <family val="2"/>
            <scheme val="minor"/>
          </rPr>
          <t>Nome da iniciativa</t>
        </r>
      </text>
    </comment>
    <comment ref="D6" authorId="0" shapeId="0" xr:uid="{00000000-0006-0000-0500-000004000000}">
      <text>
        <r>
          <rPr>
            <b/>
            <sz val="14"/>
            <color indexed="81"/>
            <rFont val="Calibri"/>
            <family val="2"/>
            <scheme val="minor"/>
          </rPr>
          <t>É a motivação geral e a síntese dos efeitos que se deseja produzir.</t>
        </r>
      </text>
    </comment>
    <comment ref="E6" authorId="0" shapeId="0" xr:uid="{00000000-0006-0000-0500-000005000000}">
      <text>
        <r>
          <rPr>
            <b/>
            <sz val="14"/>
            <color indexed="81"/>
            <rFont val="Calibri"/>
            <family val="2"/>
            <scheme val="minor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 shapeId="0" xr:uid="{00000000-0006-0000-0500-000006000000}">
      <text>
        <r>
          <rPr>
            <sz val="14"/>
            <color indexed="81"/>
            <rFont val="Calibri"/>
            <family val="2"/>
            <scheme val="minor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Calibri"/>
            <family val="2"/>
            <scheme val="minor"/>
          </rPr>
          <t>facultativo</t>
        </r>
        <r>
          <rPr>
            <sz val="14"/>
            <color indexed="81"/>
            <rFont val="Calibri"/>
            <family val="2"/>
            <scheme val="minor"/>
          </rPr>
          <t xml:space="preserve"> o enquadramento dos projetos e atividades nos ODS em 2024.</t>
        </r>
      </text>
    </comment>
    <comment ref="G6" authorId="0" shapeId="0" xr:uid="{00000000-0006-0000-0500-000007000000}">
      <text>
        <r>
          <rPr>
            <b/>
            <sz val="14"/>
            <color indexed="81"/>
            <rFont val="Calibri"/>
            <family val="2"/>
            <scheme val="minor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 shapeId="0" xr:uid="{00000000-0006-0000-0500-000008000000}">
      <text>
        <r>
          <rPr>
            <b/>
            <sz val="14"/>
            <color indexed="81"/>
            <rFont val="Calibri"/>
            <family val="2"/>
            <scheme val="minor"/>
          </rPr>
          <t>Os valores devem ser iguais do último Plano de Ação aprovado em 2023.</t>
        </r>
      </text>
    </comment>
    <comment ref="I6" authorId="0" shapeId="0" xr:uid="{00000000-0006-0000-0500-000009000000}">
      <text>
        <r>
          <rPr>
            <b/>
            <sz val="14"/>
            <color indexed="81"/>
            <rFont val="Calibri"/>
            <family val="2"/>
            <scheme val="minor"/>
          </rPr>
          <t>Valores das iniciativas do Plano de Ação da Programação 2024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Marcos Cristino</author>
    <author>Tania Mara Chaves Daldegan</author>
  </authors>
  <commentList>
    <comment ref="C5" authorId="0" shapeId="0" xr:uid="{00000000-0006-0000-0600-000001000000}">
      <text>
        <r>
          <rPr>
            <b/>
            <sz val="12"/>
            <color indexed="81"/>
            <rFont val="Calibri"/>
            <family val="2"/>
            <scheme val="minor"/>
          </rPr>
          <t>O valor da Reprogramação 2023 deve ser igual ao valor APROVADO vigente no Plano de Ação 2023</t>
        </r>
      </text>
    </comment>
    <comment ref="D5" authorId="1" shapeId="0" xr:uid="{00000000-0006-0000-0600-000002000000}">
      <text>
        <r>
          <rPr>
            <b/>
            <sz val="12"/>
            <color indexed="81"/>
            <rFont val="Calibri"/>
            <family val="2"/>
            <scheme val="minor"/>
          </rPr>
          <t>Os valores devem ser os aprovados nas Diretrizes da Programação 2024</t>
        </r>
      </text>
    </comment>
    <comment ref="A32" authorId="0" shapeId="0" xr:uid="{00000000-0006-0000-0600-000003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E40" authorId="2" shapeId="0" xr:uid="{00000000-0006-0000-0600-000004000000}">
      <text>
        <r>
          <rPr>
            <b/>
            <sz val="9"/>
            <color indexed="81"/>
            <rFont val="Segoe UI"/>
            <family val="2"/>
          </rPr>
          <t>Anexo 1 da Reprogramação 2023</t>
        </r>
      </text>
    </comment>
    <comment ref="A51" authorId="1" shapeId="0" xr:uid="{00000000-0006-0000-0600-000005000000}">
      <text>
        <r>
          <rPr>
            <b/>
            <sz val="12"/>
            <color indexed="81"/>
            <rFont val="Calibri"/>
            <family val="2"/>
            <scheme val="minor"/>
          </rPr>
          <t>Superávit a ser utilizado, de acordo com o Art. 9 da Resolução 200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  <author>Fabiana ...</author>
    <author>Gustavo Milhomem Brito Menezes</author>
    <author>Tania Mara Chaves Daldegan</author>
  </authors>
  <commentList>
    <comment ref="E9" authorId="0" shapeId="0" xr:uid="{00000000-0006-0000-0700-000001000000}">
      <text>
        <r>
          <rPr>
            <b/>
            <sz val="12"/>
            <color indexed="81"/>
            <rFont val="Calibri"/>
            <family val="2"/>
            <scheme val="minor"/>
          </rPr>
          <t>Apresentar a composição deste valor no campo de comentários/justificativas.</t>
        </r>
      </text>
    </comment>
    <comment ref="A13" authorId="1" shapeId="0" xr:uid="{00000000-0006-0000-0700-000002000000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B23" authorId="2" shapeId="0" xr:uid="{00000000-0006-0000-0700-000003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26" authorId="3" shapeId="0" xr:uid="{00000000-0006-0000-0700-000004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3" shapeId="0" xr:uid="{00000000-0006-0000-0700-000005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" authorId="3" shapeId="0" xr:uid="{00000000-0006-0000-0700-000006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3" shapeId="0" xr:uid="{00000000-0006-0000-0700-000007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0" authorId="3" shapeId="0" xr:uid="{00000000-0006-0000-0700-000008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1" authorId="3" shapeId="0" xr:uid="{00000000-0006-0000-0700-000009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2" authorId="3" shapeId="0" xr:uid="{00000000-0006-0000-0700-00000A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3" authorId="3" shapeId="0" xr:uid="{00000000-0006-0000-0700-00000B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4" authorId="3" shapeId="0" xr:uid="{00000000-0006-0000-0700-00000C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5" authorId="3" shapeId="0" xr:uid="{00000000-0006-0000-0700-00000D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6" authorId="3" shapeId="0" xr:uid="{00000000-0006-0000-0700-00000E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7" authorId="3" shapeId="0" xr:uid="{00000000-0006-0000-0700-00000F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8" authorId="3" shapeId="0" xr:uid="{00000000-0006-0000-0700-000010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9" authorId="3" shapeId="0" xr:uid="{00000000-0006-0000-0700-000011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0" authorId="3" shapeId="0" xr:uid="{00000000-0006-0000-0700-000012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1" authorId="3" shapeId="0" xr:uid="{00000000-0006-0000-0700-000013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  <author>Marcos</author>
  </authors>
  <commentList>
    <comment ref="L5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  <comment ref="L7" authorId="1" shapeId="0" xr:uid="{F16CD0C1-0DFB-4336-8902-9027B95B04BC}">
      <text>
        <r>
          <rPr>
            <b/>
            <sz val="9"/>
            <color indexed="81"/>
            <rFont val="Segoe UI"/>
            <family val="2"/>
          </rPr>
          <t>Marcos:</t>
        </r>
        <r>
          <rPr>
            <sz val="9"/>
            <color indexed="81"/>
            <rFont val="Segoe UI"/>
            <family val="2"/>
          </rPr>
          <t xml:space="preserve">
Premiação TCC</t>
        </r>
      </text>
    </comment>
  </commentList>
</comments>
</file>

<file path=xl/sharedStrings.xml><?xml version="1.0" encoding="utf-8"?>
<sst xmlns="http://schemas.openxmlformats.org/spreadsheetml/2006/main" count="1026" uniqueCount="601">
  <si>
    <t>UF</t>
  </si>
  <si>
    <t>Fundo de Apoio</t>
  </si>
  <si>
    <t>CSC</t>
  </si>
  <si>
    <t>Ressarcimento</t>
  </si>
  <si>
    <t>Informações para os Indicadores</t>
  </si>
  <si>
    <t>PF</t>
  </si>
  <si>
    <t>PJ</t>
  </si>
  <si>
    <t>RRT</t>
  </si>
  <si>
    <t>Taxas</t>
  </si>
  <si>
    <t>Programação 
2023</t>
  </si>
  <si>
    <t>Encontro de Contas</t>
  </si>
  <si>
    <t>Superávit financiero
apurado em 2022</t>
  </si>
  <si>
    <t>População estimada 2022</t>
  </si>
  <si>
    <t>Fontes de Receitas Correntes (80%)</t>
  </si>
  <si>
    <t>MG</t>
  </si>
  <si>
    <t>Demais valores a checar</t>
  </si>
  <si>
    <t>Exercício</t>
  </si>
  <si>
    <t>Exercícios Anteriores</t>
  </si>
  <si>
    <t>Programação</t>
  </si>
  <si>
    <t>Aporte ao
Fundo de Apoio</t>
  </si>
  <si>
    <t>Utilização com Plenárias Ampliadas</t>
  </si>
  <si>
    <t>Repasse do Fundo de Apoio</t>
  </si>
  <si>
    <t>Fiscalização</t>
  </si>
  <si>
    <t>Atendimento</t>
  </si>
  <si>
    <t>Taxas Bancárias
(Outras Receitas)</t>
  </si>
  <si>
    <t>Ativos</t>
  </si>
  <si>
    <t>Potencial Pagantes</t>
  </si>
  <si>
    <t>Inadimplência</t>
  </si>
  <si>
    <t>Quantitativo</t>
  </si>
  <si>
    <t>1. Receitas Correntes</t>
  </si>
  <si>
    <t>CSC - Fiscalização</t>
  </si>
  <si>
    <t>AC</t>
  </si>
  <si>
    <t>1.1 Receitas de Arrecadação Total</t>
  </si>
  <si>
    <t>CSC - Atendimento</t>
  </si>
  <si>
    <t>AL</t>
  </si>
  <si>
    <t>1.1.1 Anuidades</t>
  </si>
  <si>
    <t>Fundo de Apoio - APORTE</t>
  </si>
  <si>
    <t>AM</t>
  </si>
  <si>
    <t>1.1.1.1 Pessoa Física</t>
  </si>
  <si>
    <t>Fundo de Apoio - Plenárias Ampliadas</t>
  </si>
  <si>
    <t>AP</t>
  </si>
  <si>
    <t>1.1.1.1.1 Anuidade do Exercício 2023</t>
  </si>
  <si>
    <t>BA</t>
  </si>
  <si>
    <t>1.1.1.1.2 Anuidade Exercícios anteriores</t>
  </si>
  <si>
    <t>Superávit Financeiro 2022</t>
  </si>
  <si>
    <t>CE</t>
  </si>
  <si>
    <t>1.1.1.2 Pessoa Jurídica</t>
  </si>
  <si>
    <t>DF</t>
  </si>
  <si>
    <t>1.1.1.2.1 Anuidade do Exercício 2023</t>
  </si>
  <si>
    <t>ES</t>
  </si>
  <si>
    <t>1.1.1.2.2 Anuidade Exercícios anteriores</t>
  </si>
  <si>
    <t>GO</t>
  </si>
  <si>
    <t>1.1.3 RRT</t>
  </si>
  <si>
    <t>MA</t>
  </si>
  <si>
    <t>1.1.3 Taxas e Multas</t>
  </si>
  <si>
    <t>1.2 Aplicações Financeiras</t>
  </si>
  <si>
    <t>MS</t>
  </si>
  <si>
    <t>1.3 Outras Receitas Correntes</t>
  </si>
  <si>
    <t>MT</t>
  </si>
  <si>
    <t>1.4 Fundo de Apoio</t>
  </si>
  <si>
    <t>PA</t>
  </si>
  <si>
    <t>PB</t>
  </si>
  <si>
    <t>Quantidades e Inadimplência</t>
  </si>
  <si>
    <t>PE</t>
  </si>
  <si>
    <t>PF - Ativos</t>
  </si>
  <si>
    <t>PI</t>
  </si>
  <si>
    <t>PF - Potencial Pagantes</t>
  </si>
  <si>
    <t>PR</t>
  </si>
  <si>
    <t>PF - Inadimplência</t>
  </si>
  <si>
    <t>RJ</t>
  </si>
  <si>
    <t>PJ - Quantidade</t>
  </si>
  <si>
    <t>RN</t>
  </si>
  <si>
    <t>PJ - Inadimplência</t>
  </si>
  <si>
    <t>RO</t>
  </si>
  <si>
    <t>RRT - Quantidade</t>
  </si>
  <si>
    <t>RR</t>
  </si>
  <si>
    <t>RS</t>
  </si>
  <si>
    <t>Dados Geográficos</t>
  </si>
  <si>
    <t>SC</t>
  </si>
  <si>
    <t>População - 2022</t>
  </si>
  <si>
    <t>SE</t>
  </si>
  <si>
    <t>SP</t>
  </si>
  <si>
    <t>TO</t>
  </si>
  <si>
    <t>nº da coluna</t>
  </si>
  <si>
    <t>Perspectivas</t>
  </si>
  <si>
    <t>Projetos/Objetivos Estratégicos</t>
  </si>
  <si>
    <t>Projeto</t>
  </si>
  <si>
    <t>Projeto Específico</t>
  </si>
  <si>
    <t>Atividade</t>
  </si>
  <si>
    <t>Total Iniciativas</t>
  </si>
  <si>
    <t>Part. %</t>
  </si>
  <si>
    <t>Objetivos Locais</t>
  </si>
  <si>
    <t>Qde.</t>
  </si>
  <si>
    <t>Valor</t>
  </si>
  <si>
    <t>selecione abaixo</t>
  </si>
  <si>
    <t>Sociedade</t>
  </si>
  <si>
    <t>Impactar significativamente o planejamento e a gestão do território</t>
  </si>
  <si>
    <t>Estimular o conhecimento, o uso de processos criativos e a difusão das melhores práticas em Arquitetura e Urbanismo</t>
  </si>
  <si>
    <t>Valorizar a Arquitetura e Urbanismo</t>
  </si>
  <si>
    <t>Aprimorar e inovar os processos e as ações</t>
  </si>
  <si>
    <t>Processos Internos</t>
  </si>
  <si>
    <t>Tornar a fiscalização um vetor de melhoria do exercício da Arquitetura e Urbanismo</t>
  </si>
  <si>
    <t>Assegurar a eficácia no atendimento e no relacionamento com os Arquitetos e Urbanistas e a Sociedade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</si>
  <si>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</si>
  <si>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</si>
  <si>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</si>
  <si>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</si>
  <si>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</si>
  <si>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</si>
  <si>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</si>
  <si>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Pessoas e Infraestrutura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</si>
  <si>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</si>
  <si>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</si>
  <si>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</si>
  <si>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TOTAL</t>
  </si>
  <si>
    <r>
      <t xml:space="preserve">Os objetivos estratégicos em âmbito nacional </t>
    </r>
    <r>
      <rPr>
        <b/>
        <u/>
        <sz val="12"/>
        <rFont val="Calibri"/>
        <family val="2"/>
        <scheme val="minor"/>
      </rPr>
      <t>FORAM ALTERADOS PARA</t>
    </r>
    <r>
      <rPr>
        <sz val="12"/>
        <rFont val="Calibri"/>
        <family val="2"/>
        <scheme val="minor"/>
      </rPr>
      <t xml:space="preserve">: 
</t>
    </r>
    <r>
      <rPr>
        <b/>
        <sz val="12"/>
        <rFont val="Calibri"/>
        <family val="2"/>
        <scheme val="minor"/>
      </rPr>
      <t xml:space="preserve">Fiscalização,  Comunicação e Ter sistemas de informação e infraestrutura 
</t>
    </r>
    <r>
      <rPr>
        <sz val="12"/>
        <rFont val="Calibri"/>
        <family val="2"/>
        <scheme val="minor"/>
      </rPr>
      <t>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devem ser obrigatoriamente trabalhados. 
Selecionar os objetivos estratégicos prioritários em âmbito local trabalhados em 2024, 
que devem ser diferentes dos nacionais.</t>
    </r>
  </si>
  <si>
    <t>MAPA ESTRATÉGICO CAU/UF</t>
  </si>
  <si>
    <t xml:space="preserve">Objetivos de Desenvolvimento Sustentável </t>
  </si>
  <si>
    <t>Obs.: Os Indicadores devem ser vinculados aos objetivos estratégicos priorizados no Mapa Estratégico do CAU/UF, ou seja, os indicadores dos objetivos estratégicos escolhidos no Mapa Estratégico devem ser mensurados. Utilizar os dados das Diretrizes da Programação 2024.</t>
  </si>
  <si>
    <t>Indicadores Institucionais e de Resultado (agrupados por objetivo estratégico) - Metas</t>
  </si>
  <si>
    <t>A- INDICADORES INSTITUCIONAIS</t>
  </si>
  <si>
    <t xml:space="preserve">Fórmula </t>
  </si>
  <si>
    <t xml:space="preserve">Periodicidade </t>
  </si>
  <si>
    <t>Meta
2023</t>
  </si>
  <si>
    <t>Meta
2024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</si>
  <si>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</si>
  <si>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t>x 100</t>
  </si>
  <si>
    <t>Anual</t>
  </si>
  <si>
    <t>total de municípios da UF</t>
  </si>
  <si>
    <t>B- INDICADORES DE RESULTADO</t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</si>
  <si>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</si>
  <si>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t xml:space="preserve">Mensal </t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</si>
  <si>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</si>
  <si>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t>quantidade de obras e serviços regulares</t>
  </si>
  <si>
    <t>quantidade de obras e serviços fiscalizados pelo CAU/UF</t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</si>
  <si>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</si>
  <si>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</si>
  <si>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</si>
  <si>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t>número de processos de fiscalização concluídos no semestre</t>
  </si>
  <si>
    <t>Semestral</t>
  </si>
  <si>
    <t>*</t>
  </si>
  <si>
    <t xml:space="preserve"> número total de processos de fiscalização em aberto no ano</t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</si>
  <si>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</si>
  <si>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</si>
  <si>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t>Mensal</t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</si>
  <si>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</si>
  <si>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t>quantidade obras e serviços com RRT</t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</si>
  <si>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</si>
  <si>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t>quantidade de obras e serviços regularizados</t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</si>
  <si>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</si>
  <si>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t>quantidade de obras e serviços regularizados com RRT</t>
  </si>
  <si>
    <t>quantidade obras e serviços regularizados</t>
  </si>
  <si>
    <t>Assegurar a eficácia no atendimento e no relacionamento com os arquitetos e urbanistas e a sociedade</t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</si>
  <si>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</si>
  <si>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t>Trimestral</t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</si>
  <si>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</si>
  <si>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</si>
  <si>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t xml:space="preserve">número de reclamações recebidas pela Ouvidoria  no trimestre                                                                                                               </t>
  </si>
  <si>
    <t>NSA</t>
  </si>
  <si>
    <t xml:space="preserve">número total de atendimentos pela Ouvidoria no trimestre                                   </t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</si>
  <si>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</si>
  <si>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t>valor orçamentário investido (executado) em patrocínios no ano</t>
  </si>
  <si>
    <t xml:space="preserve">Anual
</t>
  </si>
  <si>
    <t>valor orçamentário destinado (orçado) em patrocínios no ano</t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</si>
  <si>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</si>
  <si>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</si>
  <si>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</si>
  <si>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t>Garantir a participação dos arquitetos e urbanistas no planejamento territorial e na gestão urbana</t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</si>
  <si>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</si>
  <si>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t>número de ações com participação do CAU/UF</t>
  </si>
  <si>
    <t>Estimular a produção da arquitetura e urbanismo como política de Estado</t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</si>
  <si>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</si>
  <si>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t>número de municípios da UF que passaram a aplicar a Lei de Assistência Técnica</t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</si>
  <si>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</si>
  <si>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</si>
  <si>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t>quantidade de acessos qualificados (visitantes únicos) a página do CAU/UF</t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</si>
  <si>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</si>
  <si>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</si>
  <si>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t>Número de  visualizações das publicações do CAU/UF das redes sociais</t>
  </si>
  <si>
    <t>quantidade de visualizações das publicações do CAU/UF das redes sociais</t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</si>
  <si>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</si>
  <si>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t>número de escolas da UF com a disciplina de ética profissional na grade curricular</t>
  </si>
  <si>
    <t>número total de escolas da UF</t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</si>
  <si>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</si>
  <si>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</si>
  <si>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</si>
  <si>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</si>
  <si>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</si>
  <si>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</si>
  <si>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</si>
  <si>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t xml:space="preserve">Semestral </t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</si>
  <si>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</si>
  <si>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</si>
  <si>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</si>
  <si>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</si>
  <si>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</si>
  <si>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t>total de processos existentes</t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</si>
  <si>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</si>
  <si>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t>número de processos automatizados</t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</si>
  <si>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</si>
  <si>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</si>
  <si>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</si>
  <si>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</si>
  <si>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</si>
  <si>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</si>
  <si>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Justificativas para os indicadores que não foram propostas metas: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</si>
  <si>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</si>
  <si>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t>Indicadores selecionados pelo UF (para uso do CAU/BR)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</si>
  <si>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</t>
    </r>
  </si>
  <si>
    <t>PLANO DE AÇÃO - PROGRAMAÇÃO  2024</t>
  </si>
  <si>
    <t>1. QUADRO GERAL</t>
  </si>
  <si>
    <t>Unidade Responsável</t>
  </si>
  <si>
    <t>P/A/ PE</t>
  </si>
  <si>
    <t>Denominação</t>
  </si>
  <si>
    <t xml:space="preserve">Objetivo Geral </t>
  </si>
  <si>
    <t>Objetivo Estratégico Principal</t>
  </si>
  <si>
    <t>Objetivos de Desenvolvimento Sustentável</t>
  </si>
  <si>
    <t>Resultado</t>
  </si>
  <si>
    <t>Reprogramação
2023
(A)</t>
  </si>
  <si>
    <t>Programação
 2024
(B)</t>
  </si>
  <si>
    <t xml:space="preserve">Variação (2024/2023) </t>
  </si>
  <si>
    <t>R$
(C=B-A)</t>
  </si>
  <si>
    <t>% 
(D= C/A *100)</t>
  </si>
  <si>
    <t>LEGENDA: P = PROJETO/ A = ATIVIDADE/ PE = PROJETO ESTRATÉGICO</t>
  </si>
  <si>
    <t>COMENTÁRIOS/JUSTIFICATIVAS:</t>
  </si>
  <si>
    <t>Orientação:  Na proposta da Programação 2024, para as receitas  de Arrecadação - anuidades de AU e PJ  (do exercício e dos exercícios anteriores), RRT, taxas e multas, devem ser considerados os valores constantes das Diretrizes da Programação 2024. 
Caso o CAU/UF apresente projeções de receitas divergentes das aprovadas nas Diretrizes da Programação 2024, é necessário justificar a alteração e nos informar qual a nova posição do CAU/UF em relação às quantidades e inadimplências aplicadas às projeções de 2024 (AU; PJ; RRT; Taxas e Multas). Para tanto, deve-se utilizar a Minuta das Diretrizes da Programação 2024 e encaminhá-la à GERPLAN.
As receitas de exercícios anteriores devem ser projetadas no mínimo de 10% do valor total a ser arrecadado por cada CAU/UF. 
 As células sinalizadas, em cinza, são fórmulas e não devem ser modificadas.</t>
  </si>
  <si>
    <t>Anexo 1 - Demonstrativo de Fontes e Aplicações - Programação 2024</t>
  </si>
  <si>
    <t>Especificação</t>
  </si>
  <si>
    <t>Reprogramação
 2023
 (A)</t>
  </si>
  <si>
    <t>Programação
 2024
  (B)</t>
  </si>
  <si>
    <t xml:space="preserve">Participação
 (E)           </t>
  </si>
  <si>
    <t>R$
 (C=B-A)</t>
  </si>
  <si>
    <t>%
 (D=C/A)</t>
  </si>
  <si>
    <t>A - FONTES</t>
  </si>
  <si>
    <t>Ajuste necessário</t>
  </si>
  <si>
    <t>1.1.4 Taxas e Multas</t>
  </si>
  <si>
    <t>2. Receitas de Capital</t>
  </si>
  <si>
    <t>2.1 Saldos de Exercícios Anteriores (Superávit Financeiro)</t>
  </si>
  <si>
    <t>2.2 Outras Receitas de Capital</t>
  </si>
  <si>
    <t xml:space="preserve"> I – TOTAL</t>
  </si>
  <si>
    <t>B. APLICAÇÕES</t>
  </si>
  <si>
    <t>1. Programação Operacional</t>
  </si>
  <si>
    <t>1.1 Projetos</t>
  </si>
  <si>
    <t>1.2 Projetos Estratégicos</t>
  </si>
  <si>
    <t>1.3 Atividades</t>
  </si>
  <si>
    <t>2. Aportes ao Fundo de Apoio</t>
  </si>
  <si>
    <t xml:space="preserve">3. Aporte ao CSC </t>
  </si>
  <si>
    <t>4. Reserva de Contingência</t>
  </si>
  <si>
    <t>II – TOTAL</t>
  </si>
  <si>
    <t>VARIAÇÃO (I-II)</t>
  </si>
  <si>
    <t>RESUMO DA PROGRAMAÇÃO 2024 - POR CATEGORIA ECONÔMICA</t>
  </si>
  <si>
    <t xml:space="preserve">CATEGORIA ECONÔMICA </t>
  </si>
  <si>
    <t>FONTES</t>
  </si>
  <si>
    <t>APLICAÇÃO</t>
  </si>
  <si>
    <t>Reprogramação 
2023 
(A)</t>
  </si>
  <si>
    <t>Programação 
2024 
(B)</t>
  </si>
  <si>
    <t>Variação
(%)</t>
  </si>
  <si>
    <t>Corrente</t>
  </si>
  <si>
    <t xml:space="preserve">Capital </t>
  </si>
  <si>
    <t>Total</t>
  </si>
  <si>
    <t>Correntes
(R$)</t>
  </si>
  <si>
    <t>Capital
(R$)</t>
  </si>
  <si>
    <t>TOTAL
(R$)</t>
  </si>
  <si>
    <t>I - Receitas</t>
  </si>
  <si>
    <t>II - Despesas</t>
  </si>
  <si>
    <t>Aplicação do Superávit Financeiro</t>
  </si>
  <si>
    <t>Informações</t>
  </si>
  <si>
    <t>I - Superávit financeiro acumulado em 2022</t>
  </si>
  <si>
    <t>II - Despesas de capital</t>
  </si>
  <si>
    <t>II a - Percentual de utilização para capital</t>
  </si>
  <si>
    <t>III - Projetos Estratégicos (PE)</t>
  </si>
  <si>
    <t>III a - Percentual de utilização para PE</t>
  </si>
  <si>
    <t>A. Saldo IV = (I-II-III)</t>
  </si>
  <si>
    <t>Orientação: As células em cinza estão vinculadas com fórmulas, não devem ser preenchidas.</t>
  </si>
  <si>
    <t>Anexo 2 - Limites de Aplicação dos Recursos Estratégicos - Programação 2024</t>
  </si>
  <si>
    <r>
      <rPr>
        <b/>
        <u/>
        <sz val="12"/>
        <color theme="1"/>
        <rFont val="Calibri"/>
        <family val="2"/>
        <scheme val="minor"/>
      </rPr>
      <t xml:space="preserve">ATENÇÃO: 
Os limites foram alterados conforme as Diretrizes da Programação 2024
</t>
    </r>
    <r>
      <rPr>
        <b/>
        <sz val="12"/>
        <color theme="1"/>
        <rFont val="Calibri"/>
        <family val="2"/>
        <scheme val="minor"/>
      </rPr>
      <t xml:space="preserve">
OBS 1:  </t>
    </r>
    <r>
      <rPr>
        <b/>
        <u/>
        <sz val="12"/>
        <color theme="1"/>
        <rFont val="Calibri"/>
        <family val="2"/>
        <scheme val="minor"/>
      </rPr>
      <t xml:space="preserve">Obrigatórios
</t>
    </r>
    <r>
      <rPr>
        <b/>
        <sz val="12"/>
        <color theme="1"/>
        <rFont val="Calibri"/>
        <family val="2"/>
        <scheme val="minor"/>
      </rPr>
      <t xml:space="preserve">
Vedada a inobservância de aplicação dos percentuais:
Fiscalização - mínimo de 25% da RAL
ATHIS - mínimo de 2% da RAL
Despesa com pessoal - até 60% das receitas correntes
Capacitação - mínimo de 2% da folha de pagamento</t>
    </r>
  </si>
  <si>
    <r>
      <t xml:space="preserve">OBS 2: </t>
    </r>
    <r>
      <rPr>
        <b/>
        <u/>
        <sz val="12"/>
        <color theme="1"/>
        <rFont val="Calibri"/>
        <family val="2"/>
        <scheme val="minor"/>
      </rPr>
      <t xml:space="preserve">Podem ser flexibilizados
</t>
    </r>
    <r>
      <rPr>
        <b/>
        <sz val="12"/>
        <color theme="1"/>
        <rFont val="Calibri"/>
        <family val="2"/>
        <scheme val="minor"/>
      </rPr>
      <t xml:space="preserve">
Os órgãos deliberativos dos CAU/UF poderão,
mediante as justificativas próprias, flexibilizar a aplicação dos percentuais:
Atendimento - mínimo de 10% da RAL
Comunicação - mínimo de 3% da RAL
Patrocínio - máximo de 5% da RAL
Patrimônio - mínimo de 2% da RAL
Objetivos Locais - mínimo de 6% da RAL
Reserva de Contingência - máximo de 2% da RAL
Apresentar justificativa no campo abaixo.</t>
    </r>
  </si>
  <si>
    <t>BASE DE CÁLCULO</t>
  </si>
  <si>
    <t xml:space="preserve">FOLHA DE PAGAMENTO </t>
  </si>
  <si>
    <t>Variação</t>
  </si>
  <si>
    <t>A. Pessoal e Encargos (Valores totais)</t>
  </si>
  <si>
    <t>B. Valor total das rescisões contratuais, auxílio alimentação, auxílio transporte, plano de saúde e demais benefícios.</t>
  </si>
  <si>
    <t>C. Receitas Correntes</t>
  </si>
  <si>
    <t>LIMITES</t>
  </si>
  <si>
    <t xml:space="preserve">Variação </t>
  </si>
  <si>
    <r>
      <t xml:space="preserve"> Despesas com Pessoal
</t>
    </r>
    <r>
      <rPr>
        <b/>
        <sz val="12"/>
        <color rgb="FFFF0000"/>
        <rFont val="Calibri"/>
        <family val="2"/>
        <scheme val="minor"/>
      </rPr>
      <t>(máximo de 60% sobre as Receitas Correntes)</t>
    </r>
  </si>
  <si>
    <t xml:space="preserve">% </t>
  </si>
  <si>
    <t>APLICAÇÕES DE RECURSOS</t>
  </si>
  <si>
    <t>Reprogramação
 2023</t>
  </si>
  <si>
    <t>Programação
 2024</t>
  </si>
  <si>
    <t xml:space="preserve">1. Receita de Arrecadação Total </t>
  </si>
  <si>
    <t>2. Recursos do fundo de apoio (CAU Básico)</t>
  </si>
  <si>
    <t>3. Soma (1+2)</t>
  </si>
  <si>
    <t>4. Aportes ao Fundo de Apoio</t>
  </si>
  <si>
    <t>5.  Receita da Arrecadação Líquida (RAL = 3 - 4)</t>
  </si>
  <si>
    <t xml:space="preserve">BASE DE CÁLCULO </t>
  </si>
  <si>
    <r>
      <t xml:space="preserve">Fiscalização
</t>
    </r>
    <r>
      <rPr>
        <b/>
        <sz val="12"/>
        <color rgb="FFFF0000"/>
        <rFont val="Calibri"/>
        <family val="2"/>
        <scheme val="minor"/>
      </rPr>
      <t xml:space="preserve">(mínimo de 25,0% do total da RAL)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</t>
    </r>
  </si>
  <si>
    <r>
      <t xml:space="preserve">Assistência Técnica
</t>
    </r>
    <r>
      <rPr>
        <b/>
        <sz val="12"/>
        <color rgb="FFFF0000"/>
        <rFont val="Calibri"/>
        <family val="2"/>
        <scheme val="minor"/>
      </rPr>
      <t xml:space="preserve">(mínimo de 3,0% do total da RAL)    </t>
    </r>
  </si>
  <si>
    <r>
      <t xml:space="preserve">Atendimento
</t>
    </r>
    <r>
      <rPr>
        <b/>
        <sz val="12"/>
        <color rgb="FFFF0000"/>
        <rFont val="Calibri"/>
        <family val="2"/>
        <scheme val="minor"/>
      </rPr>
      <t>(mínimo de 10,0% do total da RAL)</t>
    </r>
  </si>
  <si>
    <r>
      <t xml:space="preserve">Comunicação
</t>
    </r>
    <r>
      <rPr>
        <b/>
        <sz val="12"/>
        <color rgb="FFFF0000"/>
        <rFont val="Calibri"/>
        <family val="2"/>
        <scheme val="minor"/>
      </rPr>
      <t xml:space="preserve">(mínimo de 3,0% do total da RAL)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</si>
  <si>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FF0000"/>
        <rFont val="Calibri"/>
        <family val="2"/>
        <scheme val="minor"/>
      </rPr>
      <t xml:space="preserve">(máximo de 5,0% do total da RAL)      </t>
    </r>
    <r>
      <rPr>
        <b/>
        <sz val="12"/>
        <color indexed="10"/>
        <rFont val="Calibri"/>
        <family val="2"/>
        <scheme val="minor"/>
      </rPr>
      <t xml:space="preserve">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</si>
  <si>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Patrimônio
</t>
    </r>
    <r>
      <rPr>
        <b/>
        <sz val="12"/>
        <color rgb="FFFF0000"/>
        <rFont val="Calibri"/>
        <family val="2"/>
        <scheme val="minor"/>
      </rPr>
      <t xml:space="preserve">(mínimo de 2,0% do total da RAL)    </t>
    </r>
  </si>
  <si>
    <r>
      <t xml:space="preserve">Objetivos Estratégicos Locais
</t>
    </r>
    <r>
      <rPr>
        <b/>
        <sz val="12"/>
        <color rgb="FFFF0000"/>
        <rFont val="Calibri"/>
        <family val="2"/>
        <scheme val="minor"/>
      </rPr>
      <t xml:space="preserve">(mínimo de 6,0% do total da RAL)         </t>
    </r>
    <r>
      <rPr>
        <b/>
        <sz val="12"/>
        <color indexed="21"/>
        <rFont val="Calibri"/>
        <family val="2"/>
        <scheme val="minor"/>
      </rPr>
      <t xml:space="preserve">                </t>
    </r>
  </si>
  <si>
    <r>
      <t xml:space="preserve">Reserva de Contingência
</t>
    </r>
    <r>
      <rPr>
        <b/>
        <sz val="12"/>
        <color rgb="FFFF0000"/>
        <rFont val="Calibri"/>
        <family val="2"/>
        <scheme val="minor"/>
      </rPr>
      <t xml:space="preserve">(máximo 2,0% do total da RAL)        </t>
    </r>
    <r>
      <rPr>
        <b/>
        <sz val="12"/>
        <color indexed="21"/>
        <rFont val="Calibri"/>
        <family val="2"/>
        <scheme val="minor"/>
      </rPr>
      <t xml:space="preserve">      </t>
    </r>
  </si>
  <si>
    <t>Comentários / Justificativas quando da flexibilização da aplicação de recursos mínimos e máximos do limite estratégico de Capacitação do Plano de Ação e Orçamento de 2024.</t>
  </si>
  <si>
    <t>Orientação:  As células sinalizadas, em cinza, são fórmulas e não devem ser modificadas.</t>
  </si>
  <si>
    <t>Anexo 3- Aplicações por Projetos/Atividades - por Elementos de Despesas (Consolidado) - Programação 2024</t>
  </si>
  <si>
    <t>Denominação (Projeto/Atividade)</t>
  </si>
  <si>
    <t>Programação 2024</t>
  </si>
  <si>
    <t>Pessoal</t>
  </si>
  <si>
    <t>Material de Consumo</t>
  </si>
  <si>
    <t>Serviços de Terceiros</t>
  </si>
  <si>
    <t>Transferências Correntes</t>
  </si>
  <si>
    <t xml:space="preserve">Reserva de 
Contingência </t>
  </si>
  <si>
    <t>Encargos Diversos</t>
  </si>
  <si>
    <t>Soma</t>
  </si>
  <si>
    <t>Imobilizado</t>
  </si>
  <si>
    <t>% Part.</t>
  </si>
  <si>
    <t>Pessoal e Encargos</t>
  </si>
  <si>
    <t>Diárias</t>
  </si>
  <si>
    <t>Passagens</t>
  </si>
  <si>
    <t>Serviços Prestados</t>
  </si>
  <si>
    <t>Obj. Estratégico</t>
  </si>
  <si>
    <t>TOTAL GERAL</t>
  </si>
  <si>
    <t>Orientações de Preenchimento dos Elementos de Despesas:</t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</si>
  <si>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</si>
  <si>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01 - Erradicação da pobreza</t>
  </si>
  <si>
    <t>Não se aplica</t>
  </si>
  <si>
    <t>P</t>
  </si>
  <si>
    <t>02 - Fome zero e agricultura sustentável</t>
  </si>
  <si>
    <t>Atendimento Eletrônico</t>
  </si>
  <si>
    <t>A</t>
  </si>
  <si>
    <t>03 - Saúde e bem-estar</t>
  </si>
  <si>
    <t>Auto-Atendimento</t>
  </si>
  <si>
    <t>04 - Educação de qualidade</t>
  </si>
  <si>
    <t>Serviços de Terceiros- Diárias</t>
  </si>
  <si>
    <t>Qualificação dos Canais de Atendimento</t>
  </si>
  <si>
    <t>P.</t>
  </si>
  <si>
    <t>05 - Igualdade de gênero</t>
  </si>
  <si>
    <t>Serviços de Terceiros- Passagens</t>
  </si>
  <si>
    <t>Ações Locais em Mídia</t>
  </si>
  <si>
    <t>A.</t>
  </si>
  <si>
    <t>06 - Água limpa e saneamento</t>
  </si>
  <si>
    <t>Serviços de Terceiros- Serviços Prestados</t>
  </si>
  <si>
    <t>Ações Nacionais em Mídia</t>
  </si>
  <si>
    <t>PE.</t>
  </si>
  <si>
    <t>07 - Energia limpa e acessível </t>
  </si>
  <si>
    <t>Serviços de Terceiros- Aluguéis e Encargos</t>
  </si>
  <si>
    <t>Atualização do Portal da Transparência</t>
  </si>
  <si>
    <t>08 - Trabalho decente e crescimento econômico</t>
  </si>
  <si>
    <t>Representação em Instâncias Públicas</t>
  </si>
  <si>
    <t>09 - Inovação infraestrutura</t>
  </si>
  <si>
    <t xml:space="preserve">Reserva de Contingência </t>
  </si>
  <si>
    <t>Câmaras Temáticas</t>
  </si>
  <si>
    <t>10 - Redução das desigualdades</t>
  </si>
  <si>
    <t>Editais de Patrocínio</t>
  </si>
  <si>
    <t>11 - Cidades e comunidades sustentáveis</t>
  </si>
  <si>
    <t>Capacitação em ATHIS</t>
  </si>
  <si>
    <t>12 - Consumo e produção responsáveis</t>
  </si>
  <si>
    <t>Cooperação Técnica para ATHIS</t>
  </si>
  <si>
    <t>13 - Ação contra a mudança global do clima</t>
  </si>
  <si>
    <t>Ações de Melhoria da Qualidade do Ensino</t>
  </si>
  <si>
    <t>14 - Vida na água</t>
  </si>
  <si>
    <t>CAU nas Escolas</t>
  </si>
  <si>
    <t>15 - Vida terrestre</t>
  </si>
  <si>
    <t>Audiências de Conciliação</t>
  </si>
  <si>
    <t>16 - Paz, justiça e instituições eficazes</t>
  </si>
  <si>
    <t>Melhoria de Processo Ético</t>
  </si>
  <si>
    <t>17 - Parcerias e meios de implementação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</si>
  <si>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</si>
  <si>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</si>
  <si>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</si>
  <si>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</si>
  <si>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</si>
  <si>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-</t>
  </si>
  <si>
    <t>gerplan2024</t>
  </si>
  <si>
    <t>CAU/UF:  Conselho de Arquitetura e Urbanismo do Estado de Minas Gerais- CAU/MG</t>
  </si>
  <si>
    <t>Comissão de Ensino e Formação (CEF)</t>
  </si>
  <si>
    <t>Manter e Desenvolver as Atividades da Comissão de Ensino e Formação</t>
  </si>
  <si>
    <t>Diretrizes e orientações desenvolvidas para maior integração entre CAU/MG e as Instituições de Ensino Superior mineiras; Demandas administrativas relativas à Comissão realizadas conforme previsões regimentais e pelos normativos do CAU.</t>
  </si>
  <si>
    <t>Comissão de Ética e Disciplina (CED)</t>
  </si>
  <si>
    <t>Manter e Desenvolver as Atividades da Comissão de Ética e Disciplina</t>
  </si>
  <si>
    <t>Diretrizes e orientações desenvolvidas e divulgadas para a ampliação da compreensão do Código de Ética no Estado de Minas Gerais; Demandas administrativas relativas à Comissão realizadas conforme previsões regimentais e pelos normativos do CAU.</t>
  </si>
  <si>
    <t>Comissão de Exercício Profissional (CEP)</t>
  </si>
  <si>
    <t>Manter e Desenvolver as Atividades da Comissão de Exercício Profissional</t>
  </si>
  <si>
    <t>Diretrizes e orientações  elaboradas e monitoradas para a fiscalização do CAU/MG; Demandas administrativas relativas à Comissão realizadas conforme previsões regimentais e pelos normativos do CAU.</t>
  </si>
  <si>
    <t>Comissão de Planejamento e Finanças (CPFi)</t>
  </si>
  <si>
    <t>Manter e Desenvolver as Atividades da Comissão de Planejamento e Finanças</t>
  </si>
  <si>
    <t>Diretrizes e orientações elaboradas e revisadas voltadas para melhorias no planejamento das ações administrativas e financeiras do CAU/MG; Demandas administrativas relativas à Comissão realizadas conforme previsões regimentais e pelos normativos do CAU.</t>
  </si>
  <si>
    <t>Comissão de Organização e Administração (COA)</t>
  </si>
  <si>
    <t>Diretrizes e orientações elaboradas e revisadas voltadas para melhorias organizacionais, normativas e administrativas do CAU/MG; Demandas administrativas relativas à Comissão realizadas conforme previsões regimentais e pelos normativos do CAU.</t>
  </si>
  <si>
    <t>Comissão Especial de Política Urbana e Ambiental (CPUA)</t>
  </si>
  <si>
    <t>Diretrizes e orientações elaboradas e revisadas voltadas para o aperfeiçoamento da política urbana de municípios e estado e para o desenvolvimento profissional integrado às demandas relativas ao planejamento urbano e territorial; Demandas administrativas relativas à Comissão realizadas conforme previsões regimentais e pelos normativos do CAU.</t>
  </si>
  <si>
    <t>Comissão Especial de Assistência Técnica para Habitação de Interesse Social (Cathis)</t>
  </si>
  <si>
    <t>Diretrizes e orientações elaboradas e revisadas voltadas para o aperfeiçoamento da política de assistência técnica para habitação de interesse social pública e gratuita e para o desenvolvimento profissional integrado às demandas habitacionais, urbanas e ambientais dos territórios; Demandas administrativas relativas à Comissão realizadas conforme previsões regimentais e pelos normativos do CAU.</t>
  </si>
  <si>
    <t>Comissão Especial de Patrimônio Cultural (CPC)</t>
  </si>
  <si>
    <t>Diretrizes e orientações elaboradas e revisadas voltadas para a valorização e difusão do patrimônio cultural  e promoção da participação dos arquitetos e urbanistas na atuação direta e gestão do patrimônio cultural como política de Estado; Demandas administrativas relativas à Comissão realizadas conforme previsões regimentais e pelos normativos do CAU.</t>
  </si>
  <si>
    <t>Presidência</t>
  </si>
  <si>
    <t>Manter e Desenvolver as Atividades da Presidência e dos Conselheiros Federais</t>
  </si>
  <si>
    <t>Cumprir as competências dos órgãos colegiados conforme Regimento Interno e seu planejamento</t>
  </si>
  <si>
    <t>Representação oficial realizada pela Presidência do CAU/MG e de seus Conselheiros Federais nas reuniões dos órgãos colegiados do CAU/MG; Rotinas administrativas realizadas pela Presidência do CAU/MG.</t>
  </si>
  <si>
    <t>Manter e Desenvolver as Atividades de Comissões Temporárias</t>
  </si>
  <si>
    <t>Garantir a realização de reuniões e ações de Comissões Temporárias instituídas pelo Plenário para atender demandas específicas, conforme Regimento Interno.</t>
  </si>
  <si>
    <t>Apresentação de relatório(s) conclusivo(s) dirigido(s) ao órgão proponente pela instituição das Comissões Temporárias, apresentados ao final dos trabalhos de resolução de demanda específica, publicando-os no sítio eletrônico do CAU/MG.</t>
  </si>
  <si>
    <t>Edital de Patrocínio modalidade Patrimônio Cultural</t>
  </si>
  <si>
    <t>Fomentar atividades que promovam a arquitetura e urbanismo em Minas Gerais.</t>
  </si>
  <si>
    <t>Lançamento de Edital de Patrocínio, e firmar convênios específicos com o objetivo de valorizar a Arquitetura e Urbanismo em Minas Gerais.</t>
  </si>
  <si>
    <t xml:space="preserve">Fomentar atividades no campo da Política Urbana e Ambiental </t>
  </si>
  <si>
    <t xml:space="preserve">Lançamento de Edital e Premiação dos trabalhos que promovam a Arquitetura e Urbanismo no campo da Política Urbana e Ambiental
</t>
  </si>
  <si>
    <t>Edital de Apoio Institucional</t>
  </si>
  <si>
    <t>Incentivar iniciativas diversas relacionadas ao Exercício da Arquitetura e Urbanismo</t>
  </si>
  <si>
    <t>Apoio Institucional com repasse financeiro como incentivo a iniciativas diversas relacionadas ao Exercício da Arquitetura e Urbanismo</t>
  </si>
  <si>
    <t>Assistência Técnica para Habitação de Interesse Social (ATHIS)</t>
  </si>
  <si>
    <t>Fomentar atividades que promovam a arquitetura e urbanismo em Minas Gerais no campo da Assistência Técnica para a Habitação de Interesse Social (Athis).</t>
  </si>
  <si>
    <t>Garantir a representação de colaborador ou dirigente do CAU/MG no desenvolvimento de ações ligadas ao planejamento urbano e temáticas afins.</t>
  </si>
  <si>
    <t>Ampliação da presença do CAU/MG nos debates de planejamento urbano e temáticas afins no estado.</t>
  </si>
  <si>
    <t>Representação Institucional do CAU/MG I</t>
  </si>
  <si>
    <t>Garantir a representação de colaborador ou dirigente do CAU/MG no desenvolvimento de ações ligadas ao ensino, formação profissional e ao Código de Ética.</t>
  </si>
  <si>
    <t>Ampliação da presença do CAU/MG em Instituições de Ensino Superior (IES) mineiras e órgãos públicos municipais e do estado.</t>
  </si>
  <si>
    <t>Capacitações</t>
  </si>
  <si>
    <t>Garantir a capacitação de colaboradores e dirigentes, melhorando e ampliando a capacidade técnica desses agentes.</t>
  </si>
  <si>
    <t>Capacitação realizada de colaboradores e dirigentes.</t>
  </si>
  <si>
    <t>Manter e Desenvolver as Atividades da Ouvidoria</t>
  </si>
  <si>
    <t>Ampliação da comunicação direta com os profissionais, a fim de propor soluções para demandas críticas e promover melhorias gerais no atendimento.</t>
  </si>
  <si>
    <t>Assessoria de Comunicação (Ascom)</t>
  </si>
  <si>
    <t>Fortalecer a imagem do CAU/MG e garantir a divulgação das informações da autarquia para a sociedade.</t>
  </si>
  <si>
    <t>Acompanhamento da produção, desenvolvimento e distribuição de cartilhas e divulgação de campanhas; Demandas administrativas relativas a assessoria.</t>
  </si>
  <si>
    <t>Gerência Geral (Gergel)</t>
  </si>
  <si>
    <t xml:space="preserve">Manter e Desenvolver as Atividades da Assessoria de Eventos </t>
  </si>
  <si>
    <t>Promover a arquitetura e urbanismo em Minas Gerais através do contato e participação de profissionais e sociedade.</t>
  </si>
  <si>
    <t>Realização de eventos de integração e de esclarecimentos para profissionais e sociedade sobre Arquitetura e Urbanismo.</t>
  </si>
  <si>
    <t>Cumprir as atribuições da Gerência Geral conforme atos administrativos do CAU/MG.</t>
  </si>
  <si>
    <t>Integração das atividades realizadas pelas unidades administrativas do CAU/MG.</t>
  </si>
  <si>
    <t>Mudança e adequações da nova sede e escritórios descentralizados do CAU/MG</t>
  </si>
  <si>
    <t>Ocupar espaço físico qualificado e acessível à sociedade para cumprir a finalidade precípua da autarquia.</t>
  </si>
  <si>
    <t>Ocupação de nova sede que comporte com qualidade seu Quadro de Pessoal projetado, mais atividades e reuniões de seus órgãos colegiados, além de economia financeira com custeios de Sede.</t>
  </si>
  <si>
    <t>Secretaria Geral</t>
  </si>
  <si>
    <t>Cumprir as atribuições da Secretaria Geral conforme atos administrativos do CAU/MG.</t>
  </si>
  <si>
    <t>Documentos e correspondências oficiais elaborados; gestão documental da Presidência realizada; cotação de preços realizada.</t>
  </si>
  <si>
    <t>Gerência Técnica  de Fiscalização (Gertef) - Coordenação Fiscalização</t>
  </si>
  <si>
    <t>Manter e Desenvolver as Atividades de Coordenação da Fiscalização da GERTEF</t>
  </si>
  <si>
    <t>Cumprir a finalidade precípua do Conselho, garantindo a fiscalização do exercício profissional.</t>
  </si>
  <si>
    <t>Planejamento e execução das ações de fiscalização.</t>
  </si>
  <si>
    <t>Gerência Técnica  de Fiscalização (Gertef) - Rotas</t>
  </si>
  <si>
    <t>Fiscalização Itinerante / Rotas</t>
  </si>
  <si>
    <t>Promover a atuação itinerante do CAU/MG e mesmo as ações de fiscalização que envolvam uso de veículo.</t>
  </si>
  <si>
    <t>Ampliação da atuação da Fiscalização Itinerante do CAU/MG, não apenas nas cidades onde há a presença dos fiscais, mas também em outros municípios mineiros.</t>
  </si>
  <si>
    <t>Gerência Técnica e Fiscalização (Gertef) -  Coordenação de Fiscalização</t>
  </si>
  <si>
    <t>Garantia do funcionamento do CSC e dos demais Sistemas de Informação a ele vinculados.</t>
  </si>
  <si>
    <t>Gerência Técnica  de Fiscalização (Gertef) - Coordenação Técnica</t>
  </si>
  <si>
    <t>Manter e Desenvolver as Atividades de Coordenação Técnica da GERTEF</t>
  </si>
  <si>
    <t>Manter a regularidade dos registros, anotação de títulos e acervo do profissional.</t>
  </si>
  <si>
    <t>Atendimento de solicitações e cumprimento dos prazos previstos na Carta de Serviços e normativos do CAU/BR; realização do assessoramento de Comissões.</t>
  </si>
  <si>
    <t>Gerência Técnica e Fiscalização (Gertef) -  Coordenação Técnica</t>
  </si>
  <si>
    <t>Assegurar o funcionamento do Centro de Serviços Compartilhados e Fundo de Reserva CSC relacionadas ao Atendimento.</t>
  </si>
  <si>
    <t>Gerência Jurídica (Gerjur)</t>
  </si>
  <si>
    <t>Manter e Desenvolver as Atividades da Gerência Jurídica</t>
  </si>
  <si>
    <t>Preservar a imagem jurídica do CAU/MG e observar a legalidade dos processos internos.</t>
  </si>
  <si>
    <t>Ajuizamento e defesa em ações do CAU/MG na Justiça; Cumprimento dos expedientes de rotina atribuída à Gerência pelos atos normativos do CAU/MG.</t>
  </si>
  <si>
    <t>Gerência Administrativa e Financeira (GAF)</t>
  </si>
  <si>
    <t>Fundo de Apoio aos CAU/UF</t>
  </si>
  <si>
    <t>Assegurar a sustentabilidade financeira do Sistema do CAU, apoiando os CAU/UF básicos.</t>
  </si>
  <si>
    <t>Garantia da sustentabilidade do Fundo de Apoio do CAU.</t>
  </si>
  <si>
    <t>Reserva de Contingência</t>
  </si>
  <si>
    <t>Manter o Fundo para despesas não planejadas.</t>
  </si>
  <si>
    <t>Fomento de despesas extraordinárias do CAU/MG efetivado.</t>
  </si>
  <si>
    <t>Observar a Sustentabilidade Financeira do CAU/MG e acompanhar a execução orçamentária e financeira.</t>
  </si>
  <si>
    <t>Desenvolvimento pleno das rotinas administrativas e financeiras do CAU/MG; Garantia da sustentabilidade financeira do CAU/MG; Elaboração e consolidação das propostas de Programação e Reprogramação Orçamentária.</t>
  </si>
  <si>
    <t>Gerência Especial de Planejamento e Gestão Estratégica (Geplan)</t>
  </si>
  <si>
    <t>Elaboração dos Planos de Ação; Termos de cooperação técnica com municípios e órgãos públicos; Apoio à Presidência; Acompanhamento dos Indicadores Estratégicos revisados; Elaboração e consolidação das propostas de Programação e Reprogramação Orçamentária; Elaboração e consolidação dos Relatórios de Gestão; Atualização do fluxo de trabalho de processos operacionais padrão (POP).</t>
  </si>
  <si>
    <t>Escritório Descentralizado Norte Minas</t>
  </si>
  <si>
    <t>Cumprir a finalidade precípua do Conselho, garantindo a fiscalização do exercício profissional na Regional Norte de Minas.</t>
  </si>
  <si>
    <t>Desenvolvimento das ações de atendimento planejadas para a Regional.</t>
  </si>
  <si>
    <t>Escritório Descentralizado Triângulo Mineiro e Alto Paranaíba</t>
  </si>
  <si>
    <t>Cumprir a finalidade precípua do Conselho, garantindo a fiscalização do exercício profissional na Regional Triângulo Mineiro e Alto Paranaíba.</t>
  </si>
  <si>
    <t>Escritório Descentralizado Zona da Mata e Vertentes</t>
  </si>
  <si>
    <t>Cumprir a finalidade precípua do Conselho, garantindo a fiscalização do exercício profissional na Regional Zona da Mata e Vertentes.</t>
  </si>
  <si>
    <t>Escritório Descentralizado Sul de Minas</t>
  </si>
  <si>
    <t>Cumprir a finalidade precípua do Conselho, garantindo a fiscalização do exercício profissional na Regional Sul de Minas.</t>
  </si>
  <si>
    <t>Escritório Descentralizado Leste de Minas</t>
  </si>
  <si>
    <t>Cumprir a finalidade precípua do Conselho, garantindo a fiscalização do exercício profissional na Regional Leste de Minas.</t>
  </si>
  <si>
    <t>Colegiado das Entidades Estaduais de Arquitetos e Urbanistas do CAU/MG (CEAU)</t>
  </si>
  <si>
    <t>Cumprir as competências do Colegiado conforme Regimento Interno e as ações previstas no seu Plano de Trabalho e no Plano de Ação do CAU/MG.</t>
  </si>
  <si>
    <t>Ações desenvolvidas voltadas à capacitação técnica, valorização profissional e conscientização da sociedade do papel do arquiteto e urbanista; Demandas administrativas relativas ao CEAU realizadas conforme previsões regimentais e pelos normativos do CAU.</t>
  </si>
  <si>
    <t>Fortalecer a relação institucional com as entidades de arquitetos e urbanistas no sentido de fomentar o acesso da sociedade à arquitetura e urbanismo.</t>
  </si>
  <si>
    <t>Lançamento de Edital de Patrocínio e firmar convênios específicos com o objetivo de valorizar a Arquitetura e Urbanismo em Minas Gerais.</t>
  </si>
  <si>
    <t>GERGEL</t>
  </si>
  <si>
    <t>Projeto Eleições 2023</t>
  </si>
  <si>
    <t>Cumprir o Regimento Eleitoral do CAU Brasil</t>
  </si>
  <si>
    <t>Realização plena do processo eleitoral para a gestão 2024/2026 do CAU/MG</t>
  </si>
  <si>
    <t>Promover seleção de colaboradores para o quadro do CAU/MG</t>
  </si>
  <si>
    <t>Seleção de empregados para composição do quadro técnico do CAU/MG</t>
  </si>
  <si>
    <t>Posse- Gestão 2024-2026</t>
  </si>
  <si>
    <t>Realizar um evento presencial de dois dias para a posse, treinamento de novos conselheiros eleitos e apresentação do relatório final da gestão</t>
  </si>
  <si>
    <t>1.1.1.1.1 Anuidade do Exercício</t>
  </si>
  <si>
    <t>1.1.1.2.1 Anuidade do Exercício</t>
  </si>
  <si>
    <t>Representação Institucional do CAU/MG</t>
  </si>
  <si>
    <t>Cumprir a finalidade precípua do Conselho, garantindo a fiscalização do exercício profissional Noroeste de Minas</t>
  </si>
  <si>
    <t>Capacitação em Regularização Fundiária</t>
  </si>
  <si>
    <t>Gestão Documental do CAU/MG</t>
  </si>
  <si>
    <t>Eventos Institucionais</t>
  </si>
  <si>
    <t>Concurso Público 2024</t>
  </si>
  <si>
    <t>Promover a gestão documental do arquivo do CAU/MG através da contratação de empresa especializada.</t>
  </si>
  <si>
    <t>Custear a participação do CAU/MG em eventos alinhados aos objetivos estratégicos do conselho</t>
  </si>
  <si>
    <t>Preenchimento de todas as vagas disponíveis e a realização do Curso</t>
  </si>
  <si>
    <t>Divulgação do  o conselho, suas atribuições e realizações em eventos externo ao CAU/MG</t>
  </si>
  <si>
    <t>Manter e Desenvolver as Atividades da CPUA</t>
  </si>
  <si>
    <t>Manter e Desenvolver as Atividades da CATHIS</t>
  </si>
  <si>
    <t>Manter e Desenvolver as Atividades da CPC</t>
  </si>
  <si>
    <t>Edital de Patrocínio na modalidade Política Urbana</t>
  </si>
  <si>
    <t>CSC FISCALIZAÇÃO</t>
  </si>
  <si>
    <t>CSC ATENDIMENTO</t>
  </si>
  <si>
    <t>Manter e Desenvolver as Atividades da Gerência Adm. Financeira</t>
  </si>
  <si>
    <t>Edital de Patrocínio- Parceria Entidades de Arquitetos e Urbanistas</t>
  </si>
  <si>
    <t>Elaborar e monitorar atividades do Planejamento Estratégico, incluindo planos de ação e relatórios de gestão. Promover e acompanhar parcerias técnicas com demais órgãos públicos. Atualizar Procedimentos Operacionais Padrão</t>
  </si>
  <si>
    <t>número de municípios  da UF que possuem  Plano Diretor (=327)</t>
  </si>
  <si>
    <t>total de municípios da UF (=853)</t>
  </si>
  <si>
    <t>quantidade de ações de fiscalização realizadas pelo CAU/UF no mês (=1.196)</t>
  </si>
  <si>
    <t>número de ações de fiscalização previstas no Plano de Ação aprovado (=1.595)</t>
  </si>
  <si>
    <t>quantidade de obras e serviços regulares (=598)</t>
  </si>
  <si>
    <t>quantidade de obras e serviços fiscalizados pelo CAU/UF (=1.196)</t>
  </si>
  <si>
    <t>número total de RRT registrados (pagos) por mês (=61.834/12)</t>
  </si>
  <si>
    <t xml:space="preserve"> total de profissionais ativos (=18.651)</t>
  </si>
  <si>
    <t>quantidade de denúncias atendidas (=313)</t>
  </si>
  <si>
    <t>número de denúncias recebidas (=447)</t>
  </si>
  <si>
    <t>Observações:</t>
  </si>
  <si>
    <t>Os indicadores com asterisco (*) não foram possíveis de medir, uma vez que, desde a mudança do módulo da fiscalização, não possuímos mais relatório no SICCAU ou no IGEO que nos forneça as informações necessárias para o cálculo.</t>
  </si>
  <si>
    <t>quantidade de termos de cooperação técnica e parcerias para racionalização da ações de fiscalização (=9)</t>
  </si>
  <si>
    <t>número de termos e parcerias previstos no Plano de Ação (=15)</t>
  </si>
  <si>
    <t>quantidade mensal de ações de fiscalização realizada (=1.196)</t>
  </si>
  <si>
    <t>número de horas de fiscalização mensal (=2.990)</t>
  </si>
  <si>
    <t>Número de solicitações tratadas no prazo estipulado pela Carta de Serviços no trimestre (=27.758)</t>
  </si>
  <si>
    <t>Número de solicitações abertas no trimestre (=27.758)</t>
  </si>
  <si>
    <t>número de usuários satisfeitos com a solução da demanda (=840)</t>
  </si>
  <si>
    <t>número de usuários que responderam a pesquisa (=894)</t>
  </si>
  <si>
    <t>Quantidade de participantes presentes (= 864)</t>
  </si>
  <si>
    <t>quantidade de participantes previstas no Plano de Ação Aprovado (= 1.440)</t>
  </si>
  <si>
    <t>custos totais dos eventos (=13.000)</t>
  </si>
  <si>
    <t>quantidade de participantes presentes (=1.440)</t>
  </si>
  <si>
    <t>número de pessoas atingida pelo material produzido e distribuído (=2.820)</t>
  </si>
  <si>
    <t>quantidade de material informativo produzido (=4.196)</t>
  </si>
  <si>
    <t>número de ações com participação do CAU/UF (=9)</t>
  </si>
  <si>
    <t>número de inserções na mídia em geral onde o CAU/UF foi citado (=42)</t>
  </si>
  <si>
    <t>total de notícias sobre questões de Arquitetura e Urbanismo (=600)</t>
  </si>
  <si>
    <t>número de inserções positivas do CAU/UF na mídia (=14)</t>
  </si>
  <si>
    <t>total de inserções do CAU na mídia (=15)</t>
  </si>
  <si>
    <t>número de processos éticos concluídos em um ano (=11)</t>
  </si>
  <si>
    <t>número total de processos éticos abertos (=48)</t>
  </si>
  <si>
    <t>tempo médio de conclusão de processos éticos (=565,45)</t>
  </si>
  <si>
    <t>tempo máximo para conclusão de processo (=730)</t>
  </si>
  <si>
    <t>total de RRT na UF (=61.834)</t>
  </si>
  <si>
    <t>população total da UF/1000 habitantes (=20.538.718/1000)</t>
  </si>
  <si>
    <t>RRT mínima (=1.484)</t>
  </si>
  <si>
    <t>RRT Social (=124)</t>
  </si>
  <si>
    <t>número de processos mapeados (=67)</t>
  </si>
  <si>
    <t>total de processos existentes (=67)</t>
  </si>
  <si>
    <t>número de processos normatizados (=48)</t>
  </si>
  <si>
    <t>horas totais de treinamento (=1.672)</t>
  </si>
  <si>
    <t>número total de colaboradores e dirigentes (=53)</t>
  </si>
  <si>
    <t xml:space="preserve">total de iniciativas executadas  (=165)                                                                     </t>
  </si>
  <si>
    <t xml:space="preserve">total de iniciativas planejadas (=253)                                                                                  </t>
  </si>
  <si>
    <t>número de usuários internos satisfeitos com a tecnologia (=40)</t>
  </si>
  <si>
    <t>total de usuários internos que participaram da pesquisa (=50)</t>
  </si>
  <si>
    <t>número de usuários externos satisfeitos com a tecnologia (=817)</t>
  </si>
  <si>
    <t>total de usuários externos que participaram da pesquisa (=894)</t>
  </si>
  <si>
    <t>Novo Escritório Descentralizado</t>
  </si>
  <si>
    <t>receita corrente (R$ 15.767.683,31)</t>
  </si>
  <si>
    <t>total de profissionais ativos (19.513)</t>
  </si>
  <si>
    <t>passivo circulante (R$ 1.390.341,56)</t>
  </si>
  <si>
    <t>custo total de pessoal (R$ 9.745.604,05)</t>
  </si>
  <si>
    <t>total de profissionais inadimplentes (5.639)</t>
  </si>
  <si>
    <t>total de empresas ativas (2.346)</t>
  </si>
  <si>
    <t>total de empresas inadimplentes (1.065)</t>
  </si>
  <si>
    <t>ativo circulante (R$ 27.402.670,27)</t>
  </si>
  <si>
    <r>
      <rPr>
        <b/>
        <sz val="12"/>
        <color theme="1"/>
        <rFont val="Calibri"/>
        <family val="2"/>
        <scheme val="minor"/>
      </rPr>
      <t xml:space="preserve">Item B: </t>
    </r>
    <r>
      <rPr>
        <sz val="12"/>
        <color theme="1"/>
        <rFont val="Calibri"/>
        <family val="2"/>
        <scheme val="minor"/>
      </rPr>
      <t xml:space="preserve">O valor dos benefícios totaliza R$ 1.774.790,14 sendo composto por: Auxílio Alimentação (R$ 749.875,40); Plano de Saúde (R$ 988.993,67) e Auxílio Creche (R$ 35.921,07)                </t>
    </r>
    <r>
      <rPr>
        <b/>
        <sz val="12"/>
        <color theme="1"/>
        <rFont val="Calibri"/>
        <family val="2"/>
        <scheme val="minor"/>
      </rPr>
      <t>Limite estratégico de Capacitação:</t>
    </r>
    <r>
      <rPr>
        <sz val="12"/>
        <color theme="1"/>
        <rFont val="Calibri"/>
        <family val="2"/>
        <scheme val="minor"/>
      </rPr>
      <t xml:space="preserve"> Apenas o Limite estratégico de Capacitação foi flexibilizado considerando a média mensal de utilização verificada no Exercício de 2023.</t>
    </r>
  </si>
  <si>
    <t>Para 2024 manteve "tornar a fiscalização...", "estimular o conhecimento...", " assegurar a eficacia..." e aprimorar e inovar...", acrescentando "assegurar a eficacia..." e " ter sistemas de informação..."</t>
  </si>
  <si>
    <t>Manter e Desenvolver as Atividades do Colegiado das Entidades Estaduais CEAU</t>
  </si>
  <si>
    <t>Manter e Desenvolver as Atividades da Ger. Esp. de Planejamento e Gestão Estratégica</t>
  </si>
  <si>
    <t>Manter e Desenvolver as Atividades da Comissão de Organização e Administração</t>
  </si>
  <si>
    <t>Manter e Desenvolver as Atividades do Escritório Descentralizado Norte de Minas</t>
  </si>
  <si>
    <t>Manter e Desenvolver as Atividades do Esc. Descentralizado Triâng. Min. e Alto Paranaíba</t>
  </si>
  <si>
    <t>Manter e Desenvolver as Atividades Escritório Descentralizado Zona da Mata e Vertentes</t>
  </si>
  <si>
    <t>Manter e Desenvolver as Atividades do Escritório Descentralizado Sul de Minas</t>
  </si>
  <si>
    <t>Manter e Desenvolver as Atividades do Escritório Descentralizado Leste de Minas</t>
  </si>
  <si>
    <t>Manter e Desenvolver as Atividades do Novo Escritório Descentralizado</t>
  </si>
  <si>
    <t>Manter e Desenvolver as Atividades da Assessoria de Comunicação</t>
  </si>
  <si>
    <t>Manter e Desenvolver as Atividades da Gerência Geral</t>
  </si>
  <si>
    <t>Manter e Desenvolver as Atividades da Secretaria Geral</t>
  </si>
  <si>
    <t>Promover a formação continuada dos(as) profissionais de Arquitetura e Urbanismo, e promover a difusão de conhecimentos quanto a regularização fundiária nos termos da legislação vigente.</t>
  </si>
  <si>
    <t>Execução do processo licitatório e contrato firmado com a empresa selecionada</t>
  </si>
  <si>
    <t>Justificado</t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</si>
  <si>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FF0000"/>
        <rFont val="Calibri"/>
        <family val="2"/>
        <scheme val="minor"/>
      </rPr>
      <t>(mínimo de 2%  da Folha de Pagamento)</t>
    </r>
  </si>
  <si>
    <t>total de RRT na UF (=63.896)</t>
  </si>
  <si>
    <t>Zelar pelo aperfeiçoamento da formação em Arquitetura e Urbanismo, cumprir as competências da Comissão conforme Regimento Interno e as ações previstas no seu Plano de Trabalho e no Plano de Ação do CAU/MG.</t>
  </si>
  <si>
    <t>Zelar pelo cumprimento do Código de Ética e Disciplina do Conselho de Arquitetura e Urbanismo do Brasil, cumprir as competências da Comissão conforme Regimento Internoe as ações previstas no seu Plano de Trabalho e no Plano de Ação do CAU/MG.</t>
  </si>
  <si>
    <t>Zelar pela orientação e fiscalização do exercício da Arquitetura e Urbanismocumprir as competências da Comissão conforme Regimento Interno e as ações previstas no seu Plano de Trabalho e no Plano de Ação do CAU/MG.</t>
  </si>
  <si>
    <t>Zelar pelo planejamento e pelo equilíbrio econômico, financeiro e contábil do CAU/MG, cumprir as competências da Comissão conforme Regimento Interno e as ações previstas no seu Plano de Trabalho e no Plano de Ação do CAU/MG.</t>
  </si>
  <si>
    <t>Zelar pelo funcionamento do CAU/MG, em suas organizações e administrações, cumprir as competências da Comissão conforme Regimento Interno e as ações previstas no seu Plano de Trabalho e no Plano de Ação do CAU/MG.</t>
  </si>
  <si>
    <t>Zelar pelo planejamento territorial, defender a participação dos arquitetos e urbanistas na gestão urbana e ambiental, e estimular a produção da Arquitetura e Urbanismo como política de Estado, cumprir as competências da Comissão conforme Regimento Interno e as ações previstas no seu Plano de Trabalho e no Plano de Ação do CAU/MG.</t>
  </si>
  <si>
    <t>Promover ações relacionadas à política de assistência técnica pública e gratuita com o intuito de promover o acesso de todos à Arquitetura e Urbanismo, cumprir as competências da Comissão conforme Regimento Interno e as ações previstas no seu Plano de Trabalho e no Plano de Ação do CAU/MG.</t>
  </si>
  <si>
    <t>Zelar pela preservação do patrimônio cultural como política de Estado, defender a participação dos arquitetos e urbanistas na atuação direta e sua gestão, cumprir as competências da Comissão conforme Regimento Interno e as ações previstas no seu Plano de Trabalho e no Plano de Ação do CAU/MG.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</si>
</sst>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\-&quot;R$&quot;#,##0.00"/>
    <numFmt numFmtId="165" formatCode="&quot;R$&quot;#,##0.00;[Red]\-&quot;R$&quot;#,##0.00"/>
    <numFmt numFmtId="166" formatCode="_(* #,##0.00_);_(* \(#,##0.00\);_(* &quot;-&quot;??_);_(@_)"/>
    <numFmt numFmtId="167" formatCode="0.0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R$&quot;#,##0.00"/>
    <numFmt numFmtId="173" formatCode="_-&quot;R$&quot;\ * #,##0_-;\-&quot;R$&quot;\ * #,##0_-;_-&quot;R$&quot;\ * &quot;-&quot;??_-;_-@_-"/>
    <numFmt numFmtId="174" formatCode="#,##0.0"/>
    <numFmt numFmtId="175" formatCode="&quot;R$&quot;\ #,##0.00"/>
    <numFmt numFmtId="176" formatCode="&quot;R$&quot;#,##0.00000000000;[Red]\-&quot;R$&quot;#,##0.00000000000"/>
    <numFmt numFmtId="177" formatCode="#,##0.000000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sz val="14"/>
      <color indexed="8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0000"/>
      </patternFill>
    </fill>
    <fill>
      <patternFill patternType="solid">
        <fgColor rgb="FF2A5664"/>
        <bgColor indexed="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30053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FA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6" fillId="6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" fillId="0" borderId="0"/>
    <xf numFmtId="173" fontId="16" fillId="0" borderId="0" applyBorder="0" applyProtection="0"/>
  </cellStyleXfs>
  <cellXfs count="44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22" fillId="2" borderId="0" xfId="0" applyFont="1" applyFill="1"/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170" fontId="0" fillId="0" borderId="0" xfId="3" applyNumberFormat="1" applyFont="1"/>
    <xf numFmtId="171" fontId="0" fillId="0" borderId="0" xfId="3" applyNumberFormat="1" applyFont="1"/>
    <xf numFmtId="166" fontId="0" fillId="0" borderId="0" xfId="3" applyFont="1" applyFill="1" applyBorder="1"/>
    <xf numFmtId="166" fontId="0" fillId="0" borderId="0" xfId="3" applyFont="1"/>
    <xf numFmtId="166" fontId="14" fillId="0" borderId="0" xfId="3" applyFont="1"/>
    <xf numFmtId="166" fontId="0" fillId="0" borderId="0" xfId="3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2" applyNumberFormat="1" applyFont="1"/>
    <xf numFmtId="43" fontId="0" fillId="0" borderId="0" xfId="0" applyNumberFormat="1"/>
    <xf numFmtId="170" fontId="0" fillId="0" borderId="0" xfId="3" applyNumberFormat="1" applyFont="1" applyAlignment="1">
      <alignment horizontal="center"/>
    </xf>
    <xf numFmtId="166" fontId="0" fillId="5" borderId="0" xfId="3" applyFont="1" applyFill="1"/>
    <xf numFmtId="0" fontId="41" fillId="2" borderId="0" xfId="0" applyFont="1" applyFill="1"/>
    <xf numFmtId="166" fontId="4" fillId="0" borderId="0" xfId="3" applyFont="1" applyAlignment="1">
      <alignment horizontal="center"/>
    </xf>
    <xf numFmtId="170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6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6" fontId="3" fillId="11" borderId="1" xfId="3" applyFont="1" applyFill="1" applyBorder="1" applyAlignment="1" applyProtection="1">
      <alignment horizontal="center" vertical="center"/>
      <protection locked="0"/>
    </xf>
    <xf numFmtId="166" fontId="4" fillId="2" borderId="1" xfId="3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3" fillId="3" borderId="1" xfId="3" applyFont="1" applyFill="1" applyBorder="1" applyAlignment="1" applyProtection="1">
      <alignment horizontal="center" vertical="center" wrapText="1"/>
      <protection locked="0"/>
    </xf>
    <xf numFmtId="166" fontId="4" fillId="3" borderId="1" xfId="3" applyFont="1" applyFill="1" applyBorder="1" applyAlignment="1" applyProtection="1">
      <alignment horizontal="center" vertical="center" wrapText="1"/>
      <protection locked="0"/>
    </xf>
    <xf numFmtId="166" fontId="3" fillId="3" borderId="1" xfId="3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3" applyNumberFormat="1" applyFont="1" applyFill="1" applyBorder="1" applyAlignment="1">
      <alignment horizontal="center" vertical="center" wrapText="1"/>
    </xf>
    <xf numFmtId="49" fontId="0" fillId="0" borderId="0" xfId="3" applyNumberFormat="1" applyFont="1" applyAlignment="1">
      <alignment horizontal="center" vertical="center" wrapText="1"/>
    </xf>
    <xf numFmtId="49" fontId="14" fillId="0" borderId="0" xfId="3" applyNumberFormat="1" applyFont="1" applyAlignment="1">
      <alignment horizontal="center" vertical="center" wrapText="1"/>
    </xf>
    <xf numFmtId="49" fontId="0" fillId="0" borderId="0" xfId="0" applyNumberFormat="1"/>
    <xf numFmtId="49" fontId="0" fillId="0" borderId="0" xfId="3" applyNumberFormat="1" applyFont="1" applyFill="1" applyBorder="1"/>
    <xf numFmtId="49" fontId="0" fillId="0" borderId="0" xfId="3" applyNumberFormat="1" applyFont="1"/>
    <xf numFmtId="49" fontId="14" fillId="0" borderId="0" xfId="3" applyNumberFormat="1" applyFont="1"/>
    <xf numFmtId="166" fontId="41" fillId="0" borderId="0" xfId="3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2" applyFont="1" applyAlignment="1">
      <alignment horizontal="left" vertical="center"/>
    </xf>
    <xf numFmtId="166" fontId="4" fillId="13" borderId="1" xfId="3" applyFont="1" applyFill="1" applyBorder="1" applyAlignment="1" applyProtection="1">
      <alignment horizontal="center" vertical="center" wrapText="1"/>
      <protection locked="0"/>
    </xf>
    <xf numFmtId="0" fontId="44" fillId="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166" fontId="40" fillId="2" borderId="0" xfId="3" applyFont="1" applyFill="1" applyAlignment="1">
      <alignment vertical="center" wrapText="1"/>
    </xf>
    <xf numFmtId="0" fontId="15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3" fillId="2" borderId="4" xfId="0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7" borderId="1" xfId="4" applyFont="1" applyFill="1" applyBorder="1" applyAlignment="1" applyProtection="1">
      <alignment horizontal="center" wrapText="1"/>
      <protection locked="0"/>
    </xf>
    <xf numFmtId="0" fontId="22" fillId="7" borderId="1" xfId="4" applyFont="1" applyFill="1" applyBorder="1" applyAlignment="1" applyProtection="1">
      <alignment horizontal="center" vertical="top" wrapText="1"/>
      <protection locked="0"/>
    </xf>
    <xf numFmtId="0" fontId="22" fillId="2" borderId="1" xfId="4" applyFont="1" applyFill="1" applyBorder="1" applyAlignment="1" applyProtection="1">
      <alignment horizontal="center" wrapText="1"/>
      <protection locked="0"/>
    </xf>
    <xf numFmtId="0" fontId="22" fillId="2" borderId="1" xfId="4" applyFont="1" applyFill="1" applyBorder="1" applyAlignment="1" applyProtection="1">
      <alignment horizontal="center" vertical="top" wrapText="1"/>
      <protection locked="0"/>
    </xf>
    <xf numFmtId="3" fontId="2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3" fillId="9" borderId="1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21" fillId="2" borderId="0" xfId="0" applyFont="1" applyFill="1" applyAlignment="1">
      <alignment horizontal="center" vertical="center" wrapText="1"/>
    </xf>
    <xf numFmtId="170" fontId="0" fillId="0" borderId="0" xfId="3" applyNumberFormat="1" applyFont="1" applyFill="1" applyBorder="1"/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6" fontId="22" fillId="0" borderId="0" xfId="3" applyFont="1" applyAlignment="1" applyProtection="1">
      <alignment horizontal="center" vertical="center"/>
      <protection locked="0"/>
    </xf>
    <xf numFmtId="166" fontId="22" fillId="0" borderId="0" xfId="3" applyFont="1" applyAlignment="1" applyProtection="1">
      <alignment horizontal="center" vertical="center" wrapText="1"/>
      <protection locked="0"/>
    </xf>
    <xf numFmtId="41" fontId="3" fillId="2" borderId="0" xfId="0" applyNumberFormat="1" applyFont="1" applyFill="1" applyAlignment="1" applyProtection="1">
      <alignment horizontal="center" vertical="center" wrapText="1"/>
      <protection locked="0"/>
    </xf>
    <xf numFmtId="169" fontId="3" fillId="2" borderId="0" xfId="3" applyNumberFormat="1" applyFont="1" applyFill="1" applyBorder="1" applyAlignment="1" applyProtection="1">
      <alignment vertical="center" wrapText="1"/>
      <protection locked="0"/>
    </xf>
    <xf numFmtId="166" fontId="3" fillId="2" borderId="0" xfId="3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textRotation="90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69" fontId="3" fillId="2" borderId="0" xfId="3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8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171" fontId="3" fillId="3" borderId="1" xfId="3" applyNumberFormat="1" applyFont="1" applyFill="1" applyBorder="1" applyAlignment="1" applyProtection="1">
      <alignment horizontal="right" vertical="center" wrapText="1"/>
    </xf>
    <xf numFmtId="168" fontId="3" fillId="3" borderId="1" xfId="3" applyNumberFormat="1" applyFont="1" applyFill="1" applyBorder="1" applyAlignment="1" applyProtection="1">
      <alignment horizontal="right" vertical="center" wrapText="1"/>
    </xf>
    <xf numFmtId="168" fontId="3" fillId="3" borderId="1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center" vertical="center"/>
    </xf>
    <xf numFmtId="166" fontId="22" fillId="0" borderId="0" xfId="3" applyFont="1" applyAlignment="1" applyProtection="1">
      <alignment horizontal="center" vertical="center"/>
    </xf>
    <xf numFmtId="43" fontId="2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21" fillId="2" borderId="0" xfId="0" applyFont="1" applyFill="1" applyAlignment="1" applyProtection="1">
      <alignment horizontal="left" wrapText="1"/>
      <protection locked="0"/>
    </xf>
    <xf numFmtId="0" fontId="21" fillId="2" borderId="0" xfId="0" applyFont="1" applyFill="1" applyAlignment="1" applyProtection="1">
      <alignment vertical="center" wrapText="1"/>
      <protection locked="0"/>
    </xf>
    <xf numFmtId="168" fontId="27" fillId="0" borderId="1" xfId="2" applyNumberFormat="1" applyFont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5" fillId="15" borderId="0" xfId="0" applyFont="1" applyFill="1" applyProtection="1">
      <protection locked="0"/>
    </xf>
    <xf numFmtId="0" fontId="23" fillId="16" borderId="1" xfId="0" applyFont="1" applyFill="1" applyBorder="1" applyAlignment="1" applyProtection="1">
      <alignment horizontal="left" vertical="center" wrapText="1"/>
      <protection locked="0"/>
    </xf>
    <xf numFmtId="0" fontId="23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0" xfId="0" applyFont="1" applyFill="1" applyProtection="1">
      <protection locked="0"/>
    </xf>
    <xf numFmtId="41" fontId="23" fillId="16" borderId="1" xfId="0" applyNumberFormat="1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vertical="center" wrapText="1"/>
    </xf>
    <xf numFmtId="0" fontId="31" fillId="16" borderId="1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left" vertical="center" wrapText="1"/>
    </xf>
    <xf numFmtId="0" fontId="21" fillId="17" borderId="0" xfId="0" applyFont="1" applyFill="1" applyAlignment="1" applyProtection="1">
      <alignment vertical="center"/>
      <protection locked="0"/>
    </xf>
    <xf numFmtId="0" fontId="25" fillId="16" borderId="1" xfId="0" applyFont="1" applyFill="1" applyBorder="1" applyAlignment="1" applyProtection="1">
      <alignment horizontal="center" vertical="center" wrapText="1"/>
      <protection locked="0"/>
    </xf>
    <xf numFmtId="49" fontId="20" fillId="16" borderId="15" xfId="3" applyNumberFormat="1" applyFont="1" applyFill="1" applyBorder="1" applyAlignment="1">
      <alignment horizontal="center" vertical="center" wrapText="1"/>
    </xf>
    <xf numFmtId="49" fontId="20" fillId="16" borderId="20" xfId="3" applyNumberFormat="1" applyFont="1" applyFill="1" applyBorder="1" applyAlignment="1">
      <alignment horizontal="center" vertical="center" wrapText="1"/>
    </xf>
    <xf numFmtId="166" fontId="20" fillId="16" borderId="19" xfId="3" applyFont="1" applyFill="1" applyBorder="1" applyAlignment="1">
      <alignment horizontal="center" vertical="center" wrapText="1"/>
    </xf>
    <xf numFmtId="170" fontId="20" fillId="16" borderId="17" xfId="3" applyNumberFormat="1" applyFont="1" applyFill="1" applyBorder="1" applyAlignment="1">
      <alignment horizontal="center" vertical="center"/>
    </xf>
    <xf numFmtId="171" fontId="20" fillId="16" borderId="15" xfId="3" applyNumberFormat="1" applyFont="1" applyFill="1" applyBorder="1" applyAlignment="1">
      <alignment horizontal="center" vertical="center" wrapText="1"/>
    </xf>
    <xf numFmtId="170" fontId="20" fillId="16" borderId="15" xfId="3" applyNumberFormat="1" applyFont="1" applyFill="1" applyBorder="1" applyAlignment="1">
      <alignment horizontal="center" vertical="center" wrapText="1"/>
    </xf>
    <xf numFmtId="170" fontId="20" fillId="16" borderId="17" xfId="3" applyNumberFormat="1" applyFont="1" applyFill="1" applyBorder="1" applyAlignment="1">
      <alignment horizontal="center" vertical="center" wrapText="1"/>
    </xf>
    <xf numFmtId="0" fontId="20" fillId="16" borderId="15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41" fontId="3" fillId="19" borderId="1" xfId="0" applyNumberFormat="1" applyFont="1" applyFill="1" applyBorder="1" applyAlignment="1">
      <alignment horizontal="center" vertical="center" wrapText="1"/>
    </xf>
    <xf numFmtId="41" fontId="3" fillId="18" borderId="1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Alignment="1" applyProtection="1">
      <alignment horizontal="left" wrapText="1"/>
      <protection locked="0"/>
    </xf>
    <xf numFmtId="4" fontId="23" fillId="16" borderId="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 applyProtection="1">
      <alignment wrapText="1"/>
      <protection locked="0"/>
    </xf>
    <xf numFmtId="165" fontId="4" fillId="2" borderId="1" xfId="3" applyNumberFormat="1" applyFont="1" applyFill="1" applyBorder="1" applyAlignment="1" applyProtection="1">
      <alignment vertical="center" wrapText="1"/>
      <protection locked="0"/>
    </xf>
    <xf numFmtId="165" fontId="23" fillId="16" borderId="1" xfId="3" applyNumberFormat="1" applyFont="1" applyFill="1" applyBorder="1" applyAlignment="1" applyProtection="1">
      <alignment vertical="center" wrapText="1"/>
    </xf>
    <xf numFmtId="168" fontId="23" fillId="16" borderId="1" xfId="3" applyNumberFormat="1" applyFont="1" applyFill="1" applyBorder="1" applyAlignment="1" applyProtection="1">
      <alignment vertical="center" wrapText="1"/>
    </xf>
    <xf numFmtId="168" fontId="21" fillId="2" borderId="0" xfId="0" applyNumberFormat="1" applyFont="1" applyFill="1" applyAlignment="1" applyProtection="1">
      <alignment horizontal="left" wrapText="1"/>
      <protection locked="0"/>
    </xf>
    <xf numFmtId="168" fontId="23" fillId="16" borderId="1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wrapText="1"/>
      <protection locked="0"/>
    </xf>
    <xf numFmtId="165" fontId="3" fillId="3" borderId="1" xfId="3" applyNumberFormat="1" applyFont="1" applyFill="1" applyBorder="1" applyAlignment="1" applyProtection="1">
      <alignment vertical="center" wrapText="1"/>
    </xf>
    <xf numFmtId="165" fontId="3" fillId="3" borderId="1" xfId="3" applyNumberFormat="1" applyFont="1" applyFill="1" applyBorder="1" applyAlignment="1" applyProtection="1">
      <alignment vertical="center"/>
    </xf>
    <xf numFmtId="168" fontId="3" fillId="3" borderId="1" xfId="2" applyNumberFormat="1" applyFont="1" applyFill="1" applyBorder="1" applyAlignment="1" applyProtection="1">
      <alignment vertical="center" wrapText="1"/>
    </xf>
    <xf numFmtId="168" fontId="3" fillId="3" borderId="1" xfId="3" applyNumberFormat="1" applyFont="1" applyFill="1" applyBorder="1" applyAlignment="1" applyProtection="1">
      <alignment vertical="center" wrapText="1"/>
    </xf>
    <xf numFmtId="165" fontId="3" fillId="5" borderId="1" xfId="3" applyNumberFormat="1" applyFont="1" applyFill="1" applyBorder="1" applyAlignment="1" applyProtection="1">
      <alignment vertical="center" wrapText="1"/>
    </xf>
    <xf numFmtId="165" fontId="3" fillId="5" borderId="1" xfId="3" applyNumberFormat="1" applyFont="1" applyFill="1" applyBorder="1" applyAlignment="1" applyProtection="1">
      <alignment vertical="center" wrapText="1"/>
      <protection locked="0"/>
    </xf>
    <xf numFmtId="165" fontId="27" fillId="5" borderId="1" xfId="3" applyNumberFormat="1" applyFont="1" applyFill="1" applyBorder="1" applyAlignment="1" applyProtection="1">
      <alignment horizontal="right" vertical="center" wrapText="1"/>
    </xf>
    <xf numFmtId="168" fontId="3" fillId="5" borderId="1" xfId="3" applyNumberFormat="1" applyFont="1" applyFill="1" applyBorder="1" applyAlignment="1" applyProtection="1">
      <alignment vertical="center" wrapText="1"/>
    </xf>
    <xf numFmtId="168" fontId="31" fillId="16" borderId="1" xfId="3" applyNumberFormat="1" applyFont="1" applyFill="1" applyBorder="1" applyAlignment="1" applyProtection="1">
      <alignment vertical="center"/>
    </xf>
    <xf numFmtId="39" fontId="31" fillId="16" borderId="1" xfId="0" applyNumberFormat="1" applyFont="1" applyFill="1" applyBorder="1" applyAlignment="1">
      <alignment vertical="center"/>
    </xf>
    <xf numFmtId="164" fontId="31" fillId="16" borderId="1" xfId="3" applyNumberFormat="1" applyFont="1" applyFill="1" applyBorder="1" applyAlignment="1" applyProtection="1">
      <alignment vertical="center"/>
    </xf>
    <xf numFmtId="164" fontId="31" fillId="16" borderId="1" xfId="3" applyNumberFormat="1" applyFont="1" applyFill="1" applyBorder="1" applyAlignment="1" applyProtection="1">
      <alignment horizontal="right" vertical="center" wrapText="1"/>
    </xf>
    <xf numFmtId="165" fontId="22" fillId="2" borderId="0" xfId="3" applyNumberFormat="1" applyFont="1" applyFill="1" applyBorder="1" applyAlignment="1" applyProtection="1">
      <alignment horizontal="right" vertical="center" wrapText="1"/>
    </xf>
    <xf numFmtId="165" fontId="22" fillId="2" borderId="0" xfId="0" applyNumberFormat="1" applyFont="1" applyFill="1" applyAlignment="1">
      <alignment horizontal="right" vertical="center" wrapText="1"/>
    </xf>
    <xf numFmtId="165" fontId="4" fillId="2" borderId="0" xfId="0" applyNumberFormat="1" applyFont="1" applyFill="1" applyAlignment="1" applyProtection="1">
      <alignment horizontal="right" vertical="center"/>
      <protection locked="0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0" xfId="3" applyNumberFormat="1" applyFont="1" applyFill="1" applyBorder="1" applyAlignment="1" applyProtection="1">
      <alignment horizontal="right" vertical="center" wrapText="1"/>
      <protection locked="0"/>
    </xf>
    <xf numFmtId="165" fontId="4" fillId="2" borderId="0" xfId="0" applyNumberFormat="1" applyFont="1" applyFill="1" applyAlignment="1" applyProtection="1">
      <alignment horizontal="right" vertical="center" wrapText="1"/>
      <protection locked="0"/>
    </xf>
    <xf numFmtId="168" fontId="23" fillId="16" borderId="1" xfId="2" applyNumberFormat="1" applyFont="1" applyFill="1" applyBorder="1" applyAlignment="1" applyProtection="1">
      <alignment horizontal="right" vertical="center" wrapText="1"/>
    </xf>
    <xf numFmtId="165" fontId="38" fillId="3" borderId="1" xfId="3" applyNumberFormat="1" applyFont="1" applyFill="1" applyBorder="1" applyAlignment="1" applyProtection="1">
      <alignment horizontal="right" vertical="center" wrapText="1"/>
    </xf>
    <xf numFmtId="165" fontId="38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38" fillId="4" borderId="1" xfId="3" applyNumberFormat="1" applyFont="1" applyFill="1" applyBorder="1" applyAlignment="1" applyProtection="1">
      <alignment horizontal="right" vertical="center" wrapText="1"/>
    </xf>
    <xf numFmtId="165" fontId="23" fillId="16" borderId="1" xfId="3" applyNumberFormat="1" applyFont="1" applyFill="1" applyBorder="1" applyAlignment="1" applyProtection="1">
      <alignment horizontal="right" vertical="center" wrapText="1"/>
    </xf>
    <xf numFmtId="168" fontId="23" fillId="16" borderId="1" xfId="3" applyNumberFormat="1" applyFont="1" applyFill="1" applyBorder="1" applyAlignment="1" applyProtection="1">
      <alignment horizontal="right" vertical="center" wrapText="1"/>
    </xf>
    <xf numFmtId="168" fontId="38" fillId="4" borderId="1" xfId="3" applyNumberFormat="1" applyFont="1" applyFill="1" applyBorder="1" applyAlignment="1" applyProtection="1">
      <alignment horizontal="right" vertical="center" wrapText="1"/>
    </xf>
    <xf numFmtId="165" fontId="3" fillId="2" borderId="1" xfId="3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3" fillId="16" borderId="1" xfId="0" applyFont="1" applyFill="1" applyBorder="1" applyAlignment="1">
      <alignment horizontal="center" vertical="center" wrapText="1"/>
    </xf>
    <xf numFmtId="168" fontId="20" fillId="16" borderId="15" xfId="3" applyNumberFormat="1" applyFont="1" applyFill="1" applyBorder="1" applyAlignment="1">
      <alignment horizontal="center" vertical="center" wrapText="1"/>
    </xf>
    <xf numFmtId="168" fontId="0" fillId="0" borderId="0" xfId="3" applyNumberFormat="1" applyFont="1" applyAlignment="1">
      <alignment horizontal="center"/>
    </xf>
    <xf numFmtId="168" fontId="0" fillId="0" borderId="0" xfId="3" applyNumberFormat="1" applyFont="1"/>
    <xf numFmtId="3" fontId="20" fillId="16" borderId="18" xfId="3" applyNumberFormat="1" applyFont="1" applyFill="1" applyBorder="1" applyAlignment="1">
      <alignment horizontal="center" vertical="center" wrapText="1"/>
    </xf>
    <xf numFmtId="3" fontId="0" fillId="0" borderId="0" xfId="3" applyNumberFormat="1" applyFont="1" applyAlignment="1">
      <alignment horizontal="center"/>
    </xf>
    <xf numFmtId="3" fontId="0" fillId="0" borderId="0" xfId="3" applyNumberFormat="1" applyFont="1"/>
    <xf numFmtId="3" fontId="0" fillId="0" borderId="0" xfId="3" applyNumberFormat="1" applyFont="1" applyFill="1" applyBorder="1" applyAlignment="1">
      <alignment horizontal="center"/>
    </xf>
    <xf numFmtId="170" fontId="4" fillId="2" borderId="1" xfId="3" applyNumberFormat="1" applyFont="1" applyFill="1" applyBorder="1" applyAlignment="1" applyProtection="1">
      <alignment horizontal="right" vertical="center" wrapText="1"/>
      <protection locked="0"/>
    </xf>
    <xf numFmtId="168" fontId="4" fillId="2" borderId="1" xfId="3" applyNumberFormat="1" applyFont="1" applyFill="1" applyBorder="1" applyAlignment="1" applyProtection="1">
      <alignment horizontal="right" vertical="center" wrapText="1"/>
      <protection locked="0"/>
    </xf>
    <xf numFmtId="166" fontId="23" fillId="12" borderId="1" xfId="3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2" fillId="0" borderId="0" xfId="12" applyFont="1" applyAlignment="1">
      <alignment vertical="center"/>
    </xf>
    <xf numFmtId="0" fontId="26" fillId="0" borderId="0" xfId="12" applyFont="1" applyAlignment="1">
      <alignment horizontal="left" vertical="center"/>
    </xf>
    <xf numFmtId="0" fontId="26" fillId="0" borderId="0" xfId="12" applyFont="1" applyAlignment="1">
      <alignment vertical="center"/>
    </xf>
    <xf numFmtId="3" fontId="26" fillId="0" borderId="0" xfId="12" applyNumberFormat="1" applyFont="1" applyAlignment="1">
      <alignment vertical="center"/>
    </xf>
    <xf numFmtId="166" fontId="26" fillId="0" borderId="0" xfId="3" applyFont="1" applyAlignment="1">
      <alignment vertical="center"/>
    </xf>
    <xf numFmtId="3" fontId="22" fillId="2" borderId="1" xfId="2" applyNumberFormat="1" applyFont="1" applyFill="1" applyBorder="1" applyAlignment="1" applyProtection="1">
      <alignment horizontal="center" vertical="center"/>
      <protection locked="0"/>
    </xf>
    <xf numFmtId="0" fontId="28" fillId="16" borderId="1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165" fontId="3" fillId="3" borderId="1" xfId="3" applyNumberFormat="1" applyFont="1" applyFill="1" applyBorder="1" applyAlignment="1" applyProtection="1">
      <alignment horizontal="right" vertical="center" wrapText="1"/>
      <protection locked="0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6" fontId="38" fillId="2" borderId="0" xfId="0" applyNumberFormat="1" applyFont="1" applyFill="1" applyAlignment="1" applyProtection="1">
      <alignment horizontal="right" vertical="center" wrapText="1"/>
      <protection locked="0"/>
    </xf>
    <xf numFmtId="165" fontId="38" fillId="2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3" fontId="3" fillId="2" borderId="1" xfId="12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4" applyNumberFormat="1" applyFont="1" applyFill="1" applyBorder="1" applyAlignment="1" applyProtection="1">
      <alignment horizontal="right" vertical="center" wrapText="1"/>
      <protection locked="0"/>
    </xf>
    <xf numFmtId="3" fontId="23" fillId="16" borderId="1" xfId="3" applyNumberFormat="1" applyFont="1" applyFill="1" applyBorder="1" applyAlignment="1" applyProtection="1">
      <alignment horizontal="center" vertical="center"/>
      <protection locked="0"/>
    </xf>
    <xf numFmtId="165" fontId="23" fillId="16" borderId="1" xfId="3" applyNumberFormat="1" applyFont="1" applyFill="1" applyBorder="1" applyAlignment="1" applyProtection="1">
      <alignment horizontal="right" vertical="center"/>
      <protection locked="0"/>
    </xf>
    <xf numFmtId="4" fontId="23" fillId="16" borderId="1" xfId="12" applyNumberFormat="1" applyFont="1" applyFill="1" applyBorder="1" applyAlignment="1" applyProtection="1">
      <alignment horizontal="right" vertical="center"/>
      <protection locked="0"/>
    </xf>
    <xf numFmtId="3" fontId="26" fillId="0" borderId="0" xfId="12" applyNumberFormat="1" applyFont="1" applyAlignment="1" applyProtection="1">
      <alignment vertical="center"/>
      <protection locked="0"/>
    </xf>
    <xf numFmtId="166" fontId="43" fillId="0" borderId="0" xfId="3" applyFont="1" applyAlignment="1" applyProtection="1">
      <alignment horizontal="center" vertical="center"/>
      <protection locked="0"/>
    </xf>
    <xf numFmtId="3" fontId="43" fillId="0" borderId="0" xfId="12" applyNumberFormat="1" applyFont="1" applyAlignment="1" applyProtection="1">
      <alignment horizontal="center" vertical="center"/>
      <protection locked="0"/>
    </xf>
    <xf numFmtId="165" fontId="22" fillId="0" borderId="0" xfId="3" applyNumberFormat="1" applyFont="1" applyAlignment="1" applyProtection="1">
      <alignment horizontal="right" vertical="center"/>
      <protection locked="0"/>
    </xf>
    <xf numFmtId="0" fontId="26" fillId="0" borderId="0" xfId="12" applyFont="1" applyAlignment="1" applyProtection="1">
      <alignment vertical="center"/>
      <protection locked="0"/>
    </xf>
    <xf numFmtId="166" fontId="26" fillId="0" borderId="0" xfId="3" applyFont="1" applyAlignment="1" applyProtection="1">
      <alignment vertical="center"/>
      <protection locked="0"/>
    </xf>
    <xf numFmtId="166" fontId="22" fillId="0" borderId="0" xfId="3" applyFont="1" applyAlignment="1" applyProtection="1">
      <alignment vertical="center"/>
      <protection locked="0"/>
    </xf>
    <xf numFmtId="165" fontId="28" fillId="0" borderId="0" xfId="12" applyNumberFormat="1" applyFont="1" applyAlignment="1" applyProtection="1">
      <alignment horizontal="right" vertical="center"/>
      <protection locked="0"/>
    </xf>
    <xf numFmtId="0" fontId="42" fillId="0" borderId="0" xfId="12" applyFont="1" applyAlignment="1" applyProtection="1">
      <alignment vertical="center"/>
      <protection locked="0"/>
    </xf>
    <xf numFmtId="3" fontId="23" fillId="16" borderId="27" xfId="12" applyNumberFormat="1" applyFont="1" applyFill="1" applyBorder="1" applyAlignment="1" applyProtection="1">
      <alignment horizontal="center" vertical="center" wrapText="1"/>
      <protection locked="0"/>
    </xf>
    <xf numFmtId="166" fontId="23" fillId="16" borderId="27" xfId="3" applyFont="1" applyFill="1" applyBorder="1" applyAlignment="1" applyProtection="1">
      <alignment horizontal="center" vertical="center" wrapText="1"/>
      <protection locked="0"/>
    </xf>
    <xf numFmtId="0" fontId="22" fillId="0" borderId="1" xfId="12" applyFont="1" applyBorder="1" applyAlignment="1" applyProtection="1">
      <alignment vertical="center" wrapText="1" readingOrder="1"/>
      <protection locked="0"/>
    </xf>
    <xf numFmtId="168" fontId="15" fillId="0" borderId="0" xfId="2" applyNumberFormat="1" applyFont="1" applyAlignment="1" applyProtection="1">
      <alignment vertical="center"/>
      <protection locked="0"/>
    </xf>
    <xf numFmtId="0" fontId="26" fillId="0" borderId="0" xfId="12" applyFont="1" applyAlignment="1" applyProtection="1">
      <alignment horizontal="left" vertical="center"/>
      <protection locked="0"/>
    </xf>
    <xf numFmtId="0" fontId="49" fillId="16" borderId="0" xfId="12" applyFont="1" applyFill="1" applyAlignment="1">
      <alignment horizontal="center" vertical="center"/>
    </xf>
    <xf numFmtId="0" fontId="28" fillId="16" borderId="0" xfId="12" applyFont="1" applyFill="1" applyAlignment="1">
      <alignment horizontal="center" vertical="center"/>
    </xf>
    <xf numFmtId="0" fontId="4" fillId="14" borderId="29" xfId="12" applyFont="1" applyFill="1" applyBorder="1" applyAlignment="1">
      <alignment horizontal="left" vertical="center"/>
    </xf>
    <xf numFmtId="0" fontId="4" fillId="4" borderId="30" xfId="12" applyFont="1" applyFill="1" applyBorder="1" applyAlignment="1">
      <alignment horizontal="left" vertical="center"/>
    </xf>
    <xf numFmtId="0" fontId="4" fillId="3" borderId="31" xfId="12" applyFont="1" applyFill="1" applyBorder="1" applyAlignment="1">
      <alignment horizontal="left" vertical="center"/>
    </xf>
    <xf numFmtId="8" fontId="4" fillId="2" borderId="0" xfId="0" applyNumberFormat="1" applyFont="1" applyFill="1" applyProtection="1">
      <protection locked="0"/>
    </xf>
    <xf numFmtId="165" fontId="4" fillId="0" borderId="1" xfId="3" applyNumberFormat="1" applyFont="1" applyFill="1" applyBorder="1" applyAlignment="1" applyProtection="1">
      <alignment vertical="center" wrapText="1"/>
      <protection locked="0"/>
    </xf>
    <xf numFmtId="165" fontId="3" fillId="0" borderId="1" xfId="3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5" fontId="4" fillId="0" borderId="1" xfId="3" applyNumberFormat="1" applyFont="1" applyFill="1" applyBorder="1" applyAlignment="1" applyProtection="1">
      <alignment vertical="center" wrapText="1"/>
    </xf>
    <xf numFmtId="168" fontId="4" fillId="0" borderId="1" xfId="3" applyNumberFormat="1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21" borderId="1" xfId="12" applyFont="1" applyFill="1" applyBorder="1" applyAlignment="1" applyProtection="1">
      <alignment vertical="center" wrapText="1" readingOrder="1"/>
      <protection locked="0"/>
    </xf>
    <xf numFmtId="3" fontId="3" fillId="21" borderId="1" xfId="12" applyNumberFormat="1" applyFont="1" applyFill="1" applyBorder="1" applyAlignment="1" applyProtection="1">
      <alignment horizontal="center" vertical="center" wrapText="1"/>
      <protection locked="0"/>
    </xf>
    <xf numFmtId="165" fontId="3" fillId="21" borderId="1" xfId="3" applyNumberFormat="1" applyFont="1" applyFill="1" applyBorder="1" applyAlignment="1" applyProtection="1">
      <alignment horizontal="right" vertical="center" wrapText="1"/>
      <protection locked="0"/>
    </xf>
    <xf numFmtId="4" fontId="3" fillId="21" borderId="1" xfId="14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3" fontId="3" fillId="0" borderId="1" xfId="12" applyNumberFormat="1" applyFont="1" applyBorder="1" applyAlignment="1" applyProtection="1">
      <alignment horizontal="center" vertical="center" wrapText="1"/>
      <protection locked="0"/>
    </xf>
    <xf numFmtId="165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4" applyNumberFormat="1" applyFont="1" applyBorder="1" applyAlignment="1" applyProtection="1">
      <alignment horizontal="right" vertical="center" wrapText="1"/>
      <protection locked="0"/>
    </xf>
    <xf numFmtId="8" fontId="4" fillId="0" borderId="0" xfId="0" applyNumberFormat="1" applyFont="1" applyAlignment="1" applyProtection="1">
      <alignment vertical="center"/>
      <protection locked="0"/>
    </xf>
    <xf numFmtId="8" fontId="22" fillId="0" borderId="0" xfId="0" applyNumberFormat="1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center" vertical="center" wrapText="1"/>
      <protection locked="0"/>
    </xf>
    <xf numFmtId="168" fontId="22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1" fontId="23" fillId="2" borderId="0" xfId="0" applyNumberFormat="1" applyFont="1" applyFill="1" applyAlignment="1">
      <alignment horizontal="center" vertical="center" wrapText="1"/>
    </xf>
    <xf numFmtId="168" fontId="3" fillId="2" borderId="0" xfId="3" applyNumberFormat="1" applyFont="1" applyFill="1" applyBorder="1" applyAlignment="1" applyProtection="1">
      <alignment horizontal="right" vertical="center" wrapText="1"/>
    </xf>
    <xf numFmtId="171" fontId="3" fillId="2" borderId="0" xfId="3" applyNumberFormat="1" applyFont="1" applyFill="1" applyBorder="1" applyAlignment="1" applyProtection="1">
      <alignment horizontal="right" vertical="center" wrapText="1"/>
    </xf>
    <xf numFmtId="168" fontId="3" fillId="2" borderId="0" xfId="2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Border="1" applyAlignment="1" applyProtection="1">
      <alignment horizontal="center" vertical="center" wrapText="1"/>
      <protection locked="0"/>
    </xf>
    <xf numFmtId="0" fontId="21" fillId="17" borderId="0" xfId="0" applyFont="1" applyFill="1" applyAlignment="1" applyProtection="1">
      <alignment horizontal="center" vertical="center"/>
      <protection locked="0"/>
    </xf>
    <xf numFmtId="0" fontId="38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3" borderId="0" xfId="0" applyFont="1" applyFill="1" applyAlignment="1" applyProtection="1">
      <alignment vertical="center"/>
      <protection locked="0"/>
    </xf>
    <xf numFmtId="177" fontId="3" fillId="0" borderId="1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4" fillId="2" borderId="0" xfId="0" applyNumberFormat="1" applyFont="1" applyFill="1" applyAlignment="1" applyProtection="1">
      <alignment wrapText="1"/>
      <protection locked="0"/>
    </xf>
    <xf numFmtId="4" fontId="4" fillId="23" borderId="0" xfId="0" applyNumberFormat="1" applyFont="1" applyFill="1" applyAlignment="1" applyProtection="1">
      <alignment vertical="center" wrapText="1"/>
      <protection locked="0"/>
    </xf>
    <xf numFmtId="164" fontId="23" fillId="16" borderId="1" xfId="3" applyNumberFormat="1" applyFont="1" applyFill="1" applyBorder="1" applyAlignment="1" applyProtection="1">
      <alignment vertical="center" wrapText="1"/>
    </xf>
    <xf numFmtId="165" fontId="22" fillId="23" borderId="0" xfId="3" applyNumberFormat="1" applyFont="1" applyFill="1" applyBorder="1" applyAlignment="1" applyProtection="1">
      <alignment horizontal="right" vertical="center" wrapText="1"/>
    </xf>
    <xf numFmtId="165" fontId="4" fillId="23" borderId="0" xfId="0" applyNumberFormat="1" applyFont="1" applyFill="1" applyAlignment="1" applyProtection="1">
      <alignment horizontal="right" vertical="center"/>
      <protection locked="0"/>
    </xf>
    <xf numFmtId="165" fontId="4" fillId="23" borderId="0" xfId="0" applyNumberFormat="1" applyFont="1" applyFill="1" applyAlignment="1" applyProtection="1">
      <alignment vertical="center"/>
      <protection locked="0"/>
    </xf>
    <xf numFmtId="168" fontId="22" fillId="23" borderId="10" xfId="2" applyNumberFormat="1" applyFont="1" applyFill="1" applyBorder="1" applyAlignment="1" applyProtection="1">
      <alignment horizontal="center" vertical="center" wrapText="1"/>
      <protection locked="0"/>
    </xf>
    <xf numFmtId="168" fontId="22" fillId="23" borderId="0" xfId="2" applyNumberFormat="1" applyFont="1" applyFill="1" applyBorder="1" applyAlignment="1" applyProtection="1">
      <alignment vertical="center" wrapText="1"/>
    </xf>
    <xf numFmtId="0" fontId="3" fillId="23" borderId="2" xfId="0" applyFont="1" applyFill="1" applyBorder="1" applyAlignment="1">
      <alignment horizontal="center" vertical="center"/>
    </xf>
    <xf numFmtId="1" fontId="22" fillId="23" borderId="0" xfId="2" applyNumberFormat="1" applyFont="1" applyFill="1" applyBorder="1" applyAlignment="1" applyProtection="1">
      <alignment horizontal="center" vertical="center"/>
    </xf>
    <xf numFmtId="1" fontId="22" fillId="23" borderId="0" xfId="2" applyNumberFormat="1" applyFont="1" applyFill="1" applyBorder="1" applyAlignment="1" applyProtection="1">
      <alignment horizontal="center" vertical="center" wrapText="1"/>
    </xf>
    <xf numFmtId="3" fontId="22" fillId="23" borderId="0" xfId="3" applyNumberFormat="1" applyFont="1" applyFill="1" applyBorder="1" applyAlignment="1" applyProtection="1">
      <alignment horizontal="center" vertical="center" wrapText="1"/>
      <protection locked="0"/>
    </xf>
    <xf numFmtId="1" fontId="22" fillId="23" borderId="0" xfId="3" applyNumberFormat="1" applyFont="1" applyFill="1" applyBorder="1" applyAlignment="1" applyProtection="1">
      <alignment horizontal="center" vertical="center" wrapText="1"/>
    </xf>
    <xf numFmtId="1" fontId="22" fillId="23" borderId="0" xfId="3" applyNumberFormat="1" applyFont="1" applyFill="1" applyBorder="1" applyAlignment="1" applyProtection="1">
      <alignment horizontal="center" vertical="center" wrapText="1"/>
      <protection locked="0"/>
    </xf>
    <xf numFmtId="3" fontId="22" fillId="23" borderId="0" xfId="3" applyNumberFormat="1" applyFont="1" applyFill="1" applyBorder="1" applyAlignment="1" applyProtection="1">
      <alignment horizontal="center" vertical="center" wrapText="1"/>
    </xf>
    <xf numFmtId="0" fontId="42" fillId="21" borderId="0" xfId="12" applyFont="1" applyFill="1" applyAlignment="1" applyProtection="1">
      <alignment vertical="center"/>
      <protection locked="0"/>
    </xf>
    <xf numFmtId="0" fontId="4" fillId="21" borderId="0" xfId="12" applyFont="1" applyFill="1" applyAlignment="1">
      <alignment horizontal="left" vertical="center"/>
    </xf>
    <xf numFmtId="0" fontId="42" fillId="21" borderId="0" xfId="12" applyFont="1" applyFill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65" fontId="38" fillId="0" borderId="0" xfId="0" applyNumberFormat="1" applyFont="1" applyAlignment="1" applyProtection="1">
      <alignment horizontal="right" vertical="center" wrapText="1"/>
      <protection locked="0"/>
    </xf>
    <xf numFmtId="176" fontId="4" fillId="0" borderId="0" xfId="0" applyNumberFormat="1" applyFont="1" applyAlignment="1" applyProtection="1">
      <alignment horizontal="center" vertical="center" wrapText="1"/>
      <protection locked="0"/>
    </xf>
    <xf numFmtId="165" fontId="27" fillId="0" borderId="1" xfId="3" applyNumberFormat="1" applyFont="1" applyFill="1" applyBorder="1" applyAlignment="1" applyProtection="1">
      <alignment horizontal="right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166" fontId="22" fillId="2" borderId="1" xfId="3" applyFont="1" applyFill="1" applyBorder="1" applyAlignment="1" applyProtection="1">
      <alignment horizontal="center" vertical="center" wrapText="1"/>
      <protection locked="0"/>
    </xf>
    <xf numFmtId="0" fontId="23" fillId="16" borderId="1" xfId="0" applyFont="1" applyFill="1" applyBorder="1" applyAlignment="1">
      <alignment horizontal="center" vertical="center" wrapText="1"/>
    </xf>
    <xf numFmtId="0" fontId="20" fillId="16" borderId="15" xfId="0" applyFont="1" applyFill="1" applyBorder="1" applyAlignment="1">
      <alignment horizontal="center" vertical="center"/>
    </xf>
    <xf numFmtId="9" fontId="20" fillId="15" borderId="15" xfId="2" applyFont="1" applyFill="1" applyBorder="1" applyAlignment="1">
      <alignment horizontal="center" vertical="center"/>
    </xf>
    <xf numFmtId="49" fontId="20" fillId="16" borderId="15" xfId="3" applyNumberFormat="1" applyFont="1" applyFill="1" applyBorder="1" applyAlignment="1">
      <alignment horizontal="center" vertical="center"/>
    </xf>
    <xf numFmtId="49" fontId="20" fillId="16" borderId="24" xfId="3" applyNumberFormat="1" applyFont="1" applyFill="1" applyBorder="1" applyAlignment="1">
      <alignment horizontal="center" vertical="center"/>
    </xf>
    <xf numFmtId="49" fontId="20" fillId="16" borderId="20" xfId="3" applyNumberFormat="1" applyFont="1" applyFill="1" applyBorder="1" applyAlignment="1">
      <alignment horizontal="center" vertical="center"/>
    </xf>
    <xf numFmtId="170" fontId="20" fillId="16" borderId="0" xfId="3" applyNumberFormat="1" applyFont="1" applyFill="1" applyBorder="1" applyAlignment="1">
      <alignment horizontal="center" vertical="center" wrapText="1"/>
    </xf>
    <xf numFmtId="49" fontId="20" fillId="16" borderId="24" xfId="3" applyNumberFormat="1" applyFont="1" applyFill="1" applyBorder="1" applyAlignment="1">
      <alignment horizontal="center" vertical="center" wrapText="1"/>
    </xf>
    <xf numFmtId="166" fontId="20" fillId="16" borderId="21" xfId="3" applyFont="1" applyFill="1" applyBorder="1" applyAlignment="1">
      <alignment horizontal="center" vertical="center"/>
    </xf>
    <xf numFmtId="166" fontId="20" fillId="16" borderId="25" xfId="3" applyFont="1" applyFill="1" applyBorder="1" applyAlignment="1">
      <alignment horizontal="center" vertical="center"/>
    </xf>
    <xf numFmtId="166" fontId="20" fillId="16" borderId="26" xfId="3" applyFont="1" applyFill="1" applyBorder="1" applyAlignment="1">
      <alignment horizontal="center" vertical="center"/>
    </xf>
    <xf numFmtId="166" fontId="20" fillId="16" borderId="16" xfId="3" applyFont="1" applyFill="1" applyBorder="1" applyAlignment="1">
      <alignment horizontal="center" vertical="center"/>
    </xf>
    <xf numFmtId="166" fontId="20" fillId="16" borderId="22" xfId="3" applyFont="1" applyFill="1" applyBorder="1" applyAlignment="1">
      <alignment horizontal="center" vertical="center"/>
    </xf>
    <xf numFmtId="166" fontId="20" fillId="16" borderId="23" xfId="3" applyFont="1" applyFill="1" applyBorder="1" applyAlignment="1">
      <alignment horizontal="center" vertical="center"/>
    </xf>
    <xf numFmtId="9" fontId="20" fillId="10" borderId="15" xfId="2" applyFont="1" applyFill="1" applyBorder="1" applyAlignment="1">
      <alignment horizontal="center" vertical="center"/>
    </xf>
    <xf numFmtId="170" fontId="20" fillId="16" borderId="21" xfId="3" applyNumberFormat="1" applyFont="1" applyFill="1" applyBorder="1" applyAlignment="1">
      <alignment horizontal="center" vertical="center" wrapText="1"/>
    </xf>
    <xf numFmtId="170" fontId="20" fillId="16" borderId="16" xfId="3" applyNumberFormat="1" applyFont="1" applyFill="1" applyBorder="1" applyAlignment="1">
      <alignment horizontal="center" vertical="center" wrapText="1"/>
    </xf>
    <xf numFmtId="0" fontId="23" fillId="16" borderId="1" xfId="12" applyFont="1" applyFill="1" applyBorder="1" applyAlignment="1" applyProtection="1">
      <alignment horizontal="center" vertical="center" wrapText="1"/>
      <protection locked="0"/>
    </xf>
    <xf numFmtId="41" fontId="23" fillId="16" borderId="1" xfId="12" applyNumberFormat="1" applyFont="1" applyFill="1" applyBorder="1" applyAlignment="1" applyProtection="1">
      <alignment horizontal="center" vertical="center" wrapText="1"/>
      <protection locked="0"/>
    </xf>
    <xf numFmtId="41" fontId="23" fillId="16" borderId="27" xfId="12" applyNumberFormat="1" applyFont="1" applyFill="1" applyBorder="1" applyAlignment="1" applyProtection="1">
      <alignment horizontal="center" vertical="center" wrapText="1"/>
      <protection locked="0"/>
    </xf>
    <xf numFmtId="0" fontId="23" fillId="16" borderId="1" xfId="12" applyFont="1" applyFill="1" applyBorder="1" applyAlignment="1" applyProtection="1">
      <alignment horizontal="left" vertical="center" readingOrder="1"/>
      <protection locked="0"/>
    </xf>
    <xf numFmtId="0" fontId="23" fillId="16" borderId="1" xfId="12" applyFont="1" applyFill="1" applyBorder="1" applyAlignment="1" applyProtection="1">
      <alignment horizontal="left" vertical="center" wrapText="1" readingOrder="1"/>
      <protection locked="0"/>
    </xf>
    <xf numFmtId="0" fontId="23" fillId="16" borderId="1" xfId="12" applyFont="1" applyFill="1" applyBorder="1" applyAlignment="1" applyProtection="1">
      <alignment horizontal="right" vertical="center"/>
      <protection locked="0"/>
    </xf>
    <xf numFmtId="0" fontId="23" fillId="16" borderId="1" xfId="12" applyFont="1" applyFill="1" applyBorder="1" applyAlignment="1" applyProtection="1">
      <alignment horizontal="center" vertical="center" wrapText="1" readingOrder="1"/>
      <protection locked="0"/>
    </xf>
    <xf numFmtId="0" fontId="23" fillId="16" borderId="27" xfId="12" applyFont="1" applyFill="1" applyBorder="1" applyAlignment="1" applyProtection="1">
      <alignment horizontal="center" vertical="center" wrapText="1" readingOrder="1"/>
      <protection locked="0"/>
    </xf>
    <xf numFmtId="0" fontId="23" fillId="16" borderId="4" xfId="0" applyFont="1" applyFill="1" applyBorder="1" applyAlignment="1">
      <alignment horizontal="center" vertical="center"/>
    </xf>
    <xf numFmtId="0" fontId="23" fillId="16" borderId="0" xfId="0" applyFont="1" applyFill="1" applyAlignment="1">
      <alignment horizontal="center" vertical="center"/>
    </xf>
    <xf numFmtId="0" fontId="22" fillId="17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8" fontId="22" fillId="23" borderId="10" xfId="2" applyNumberFormat="1" applyFont="1" applyFill="1" applyBorder="1" applyAlignment="1" applyProtection="1">
      <alignment horizontal="center" vertical="center" wrapText="1"/>
      <protection locked="0"/>
    </xf>
    <xf numFmtId="168" fontId="22" fillId="2" borderId="10" xfId="2" applyNumberFormat="1" applyFont="1" applyFill="1" applyBorder="1" applyAlignment="1" applyProtection="1">
      <alignment horizontal="center" vertical="center" wrapText="1"/>
      <protection locked="0"/>
    </xf>
    <xf numFmtId="3" fontId="22" fillId="23" borderId="10" xfId="3" applyNumberFormat="1" applyFont="1" applyFill="1" applyBorder="1" applyAlignment="1" applyProtection="1">
      <alignment horizontal="center" vertical="center" wrapText="1"/>
      <protection locked="0"/>
    </xf>
    <xf numFmtId="174" fontId="22" fillId="0" borderId="1" xfId="2" applyNumberFormat="1" applyFont="1" applyBorder="1" applyAlignment="1" applyProtection="1">
      <alignment horizontal="center" vertical="center" wrapText="1"/>
      <protection locked="0"/>
    </xf>
    <xf numFmtId="168" fontId="22" fillId="0" borderId="1" xfId="2" applyNumberFormat="1" applyFont="1" applyBorder="1" applyAlignment="1" applyProtection="1">
      <alignment horizontal="center" vertical="center" wrapText="1"/>
      <protection locked="0"/>
    </xf>
    <xf numFmtId="0" fontId="21" fillId="17" borderId="4" xfId="0" applyFont="1" applyFill="1" applyBorder="1" applyAlignment="1" applyProtection="1">
      <alignment horizontal="left" vertical="center" wrapText="1"/>
      <protection locked="0"/>
    </xf>
    <xf numFmtId="0" fontId="21" fillId="17" borderId="0" xfId="0" applyFont="1" applyFill="1" applyAlignment="1" applyProtection="1">
      <alignment horizontal="left" vertical="center" wrapText="1"/>
      <protection locked="0"/>
    </xf>
    <xf numFmtId="0" fontId="23" fillId="16" borderId="1" xfId="0" applyFont="1" applyFill="1" applyBorder="1" applyAlignment="1" applyProtection="1">
      <alignment horizontal="left" vertical="center"/>
      <protection locked="0"/>
    </xf>
    <xf numFmtId="0" fontId="23" fillId="16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175" fontId="22" fillId="0" borderId="1" xfId="2" applyNumberFormat="1" applyFont="1" applyBorder="1" applyAlignment="1" applyProtection="1">
      <alignment horizontal="center" vertical="center" wrapText="1"/>
      <protection locked="0"/>
    </xf>
    <xf numFmtId="174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4" applyFont="1" applyFill="1" applyBorder="1" applyAlignment="1" applyProtection="1">
      <alignment horizontal="left" vertical="center" wrapText="1"/>
      <protection locked="0"/>
    </xf>
    <xf numFmtId="168" fontId="22" fillId="0" borderId="27" xfId="2" applyNumberFormat="1" applyFont="1" applyBorder="1" applyAlignment="1" applyProtection="1">
      <alignment horizontal="center" vertical="center" wrapText="1"/>
      <protection locked="0"/>
    </xf>
    <xf numFmtId="168" fontId="22" fillId="0" borderId="3" xfId="2" applyNumberFormat="1" applyFont="1" applyBorder="1" applyAlignment="1" applyProtection="1">
      <alignment horizontal="center" vertical="center" wrapText="1"/>
      <protection locked="0"/>
    </xf>
    <xf numFmtId="167" fontId="22" fillId="0" borderId="27" xfId="2" applyNumberFormat="1" applyFont="1" applyBorder="1" applyAlignment="1" applyProtection="1">
      <alignment horizontal="center" vertical="center" wrapText="1"/>
      <protection locked="0"/>
    </xf>
    <xf numFmtId="167" fontId="22" fillId="0" borderId="3" xfId="2" applyNumberFormat="1" applyFont="1" applyBorder="1" applyAlignment="1" applyProtection="1">
      <alignment horizontal="center" vertical="center" wrapText="1"/>
      <protection locked="0"/>
    </xf>
    <xf numFmtId="0" fontId="22" fillId="7" borderId="1" xfId="4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22" fillId="0" borderId="1" xfId="2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174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16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left" vertical="center"/>
      <protection locked="0"/>
    </xf>
    <xf numFmtId="168" fontId="22" fillId="23" borderId="0" xfId="2" applyNumberFormat="1" applyFont="1" applyFill="1" applyBorder="1" applyAlignment="1" applyProtection="1">
      <alignment horizontal="center" vertical="center" wrapText="1"/>
    </xf>
    <xf numFmtId="2" fontId="22" fillId="23" borderId="0" xfId="2" applyNumberFormat="1" applyFont="1" applyFill="1" applyBorder="1" applyAlignment="1" applyProtection="1">
      <alignment horizontal="center" vertical="center" wrapText="1"/>
    </xf>
    <xf numFmtId="2" fontId="22" fillId="2" borderId="0" xfId="2" applyNumberFormat="1" applyFont="1" applyFill="1" applyBorder="1" applyAlignment="1" applyProtection="1">
      <alignment horizontal="center" vertical="center" wrapText="1"/>
    </xf>
    <xf numFmtId="0" fontId="4" fillId="22" borderId="2" xfId="0" applyFont="1" applyFill="1" applyBorder="1" applyAlignment="1">
      <alignment horizontal="left" vertical="center" wrapText="1"/>
    </xf>
    <xf numFmtId="168" fontId="22" fillId="2" borderId="0" xfId="2" applyNumberFormat="1" applyFont="1" applyFill="1" applyBorder="1" applyAlignment="1" applyProtection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172" fontId="22" fillId="23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23" fillId="16" borderId="27" xfId="0" applyFont="1" applyFill="1" applyBorder="1" applyAlignment="1" applyProtection="1">
      <alignment horizontal="left" vertical="center" wrapText="1"/>
      <protection locked="0"/>
    </xf>
    <xf numFmtId="4" fontId="23" fillId="16" borderId="1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3" fillId="16" borderId="1" xfId="0" applyFont="1" applyFill="1" applyBorder="1" applyAlignment="1">
      <alignment horizontal="right" vertical="center" wrapText="1"/>
    </xf>
    <xf numFmtId="0" fontId="21" fillId="17" borderId="12" xfId="0" applyFont="1" applyFill="1" applyBorder="1" applyAlignment="1" applyProtection="1">
      <alignment horizontal="left" vertical="center" wrapText="1"/>
      <protection locked="0"/>
    </xf>
    <xf numFmtId="0" fontId="23" fillId="16" borderId="1" xfId="0" applyFont="1" applyFill="1" applyBorder="1" applyAlignment="1">
      <alignment horizontal="left" vertical="center" wrapText="1"/>
    </xf>
    <xf numFmtId="41" fontId="23" fillId="16" borderId="27" xfId="0" applyNumberFormat="1" applyFont="1" applyFill="1" applyBorder="1" applyAlignment="1">
      <alignment horizontal="center" vertical="center" wrapText="1"/>
    </xf>
    <xf numFmtId="41" fontId="23" fillId="16" borderId="3" xfId="0" applyNumberFormat="1" applyFont="1" applyFill="1" applyBorder="1" applyAlignment="1">
      <alignment horizontal="center" vertical="center" wrapText="1"/>
    </xf>
    <xf numFmtId="41" fontId="23" fillId="16" borderId="28" xfId="0" applyNumberFormat="1" applyFont="1" applyFill="1" applyBorder="1" applyAlignment="1">
      <alignment horizontal="center" vertical="center" wrapText="1"/>
    </xf>
    <xf numFmtId="0" fontId="21" fillId="17" borderId="12" xfId="0" applyFont="1" applyFill="1" applyBorder="1" applyAlignment="1" applyProtection="1">
      <alignment horizontal="justify" vertical="center" wrapText="1"/>
      <protection locked="0"/>
    </xf>
    <xf numFmtId="0" fontId="21" fillId="17" borderId="0" xfId="0" applyFont="1" applyFill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3" fillId="16" borderId="6" xfId="0" applyFont="1" applyFill="1" applyBorder="1" applyAlignment="1" applyProtection="1">
      <alignment horizontal="left" vertical="center"/>
      <protection locked="0"/>
    </xf>
    <xf numFmtId="0" fontId="23" fillId="16" borderId="5" xfId="0" applyFont="1" applyFill="1" applyBorder="1" applyAlignment="1" applyProtection="1">
      <alignment horizontal="left" vertical="center"/>
      <protection locked="0"/>
    </xf>
    <xf numFmtId="0" fontId="23" fillId="16" borderId="2" xfId="0" applyFont="1" applyFill="1" applyBorder="1" applyAlignment="1" applyProtection="1">
      <alignment horizontal="left" vertical="center"/>
      <protection locked="0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left" vertical="center" wrapText="1"/>
    </xf>
    <xf numFmtId="0" fontId="23" fillId="16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3" fillId="16" borderId="6" xfId="0" applyFont="1" applyFill="1" applyBorder="1" applyAlignment="1" applyProtection="1">
      <alignment horizontal="left" vertical="center" wrapText="1"/>
      <protection locked="0"/>
    </xf>
    <xf numFmtId="0" fontId="23" fillId="16" borderId="5" xfId="0" applyFont="1" applyFill="1" applyBorder="1" applyAlignment="1" applyProtection="1">
      <alignment horizontal="left" vertical="center" wrapText="1"/>
      <protection locked="0"/>
    </xf>
    <xf numFmtId="0" fontId="23" fillId="16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31" fillId="16" borderId="6" xfId="0" applyFont="1" applyFill="1" applyBorder="1" applyAlignment="1">
      <alignment horizontal="center" vertical="center" wrapText="1"/>
    </xf>
    <xf numFmtId="0" fontId="31" fillId="16" borderId="5" xfId="0" applyFont="1" applyFill="1" applyBorder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 applyProtection="1">
      <alignment horizontal="left" vertical="center"/>
      <protection locked="0"/>
    </xf>
    <xf numFmtId="0" fontId="31" fillId="16" borderId="10" xfId="0" applyFont="1" applyFill="1" applyBorder="1" applyAlignment="1">
      <alignment horizontal="center" vertical="center" wrapText="1"/>
    </xf>
    <xf numFmtId="0" fontId="31" fillId="16" borderId="0" xfId="0" applyFont="1" applyFill="1" applyAlignment="1">
      <alignment horizontal="center" vertical="center" wrapText="1"/>
    </xf>
    <xf numFmtId="0" fontId="32" fillId="8" borderId="10" xfId="0" applyFont="1" applyFill="1" applyBorder="1" applyAlignment="1" applyProtection="1">
      <alignment horizontal="left" vertical="center" wrapText="1"/>
      <protection locked="0"/>
    </xf>
    <xf numFmtId="0" fontId="32" fillId="8" borderId="0" xfId="0" applyFont="1" applyFill="1" applyAlignment="1" applyProtection="1">
      <alignment horizontal="left" vertical="center" wrapText="1"/>
      <protection locked="0"/>
    </xf>
    <xf numFmtId="0" fontId="23" fillId="16" borderId="5" xfId="0" applyFont="1" applyFill="1" applyBorder="1" applyAlignment="1">
      <alignment horizontal="left" vertical="center" wrapText="1"/>
    </xf>
    <xf numFmtId="167" fontId="23" fillId="16" borderId="27" xfId="0" applyNumberFormat="1" applyFont="1" applyFill="1" applyBorder="1" applyAlignment="1">
      <alignment horizontal="center" vertical="center" wrapText="1"/>
    </xf>
    <xf numFmtId="167" fontId="23" fillId="16" borderId="28" xfId="0" applyNumberFormat="1" applyFont="1" applyFill="1" applyBorder="1" applyAlignment="1">
      <alignment horizontal="center" vertical="center" wrapText="1"/>
    </xf>
    <xf numFmtId="167" fontId="23" fillId="16" borderId="3" xfId="0" applyNumberFormat="1" applyFont="1" applyFill="1" applyBorder="1" applyAlignment="1">
      <alignment horizontal="center" vertical="center" wrapText="1"/>
    </xf>
    <xf numFmtId="0" fontId="3" fillId="17" borderId="12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3" fillId="21" borderId="6" xfId="0" applyFont="1" applyFill="1" applyBorder="1" applyAlignment="1" applyProtection="1">
      <alignment horizontal="center" vertical="center" wrapText="1"/>
      <protection locked="0"/>
    </xf>
    <xf numFmtId="0" fontId="3" fillId="21" borderId="5" xfId="0" applyFont="1" applyFill="1" applyBorder="1" applyAlignment="1" applyProtection="1">
      <alignment horizontal="center" vertical="center" wrapText="1"/>
      <protection locked="0"/>
    </xf>
    <xf numFmtId="0" fontId="3" fillId="21" borderId="2" xfId="0" applyFont="1" applyFill="1" applyBorder="1" applyAlignment="1" applyProtection="1">
      <alignment horizontal="center" vertical="center" wrapText="1"/>
      <protection locked="0"/>
    </xf>
    <xf numFmtId="0" fontId="3" fillId="20" borderId="6" xfId="0" applyFont="1" applyFill="1" applyBorder="1" applyAlignment="1" applyProtection="1">
      <alignment horizontal="center" vertical="center" wrapText="1"/>
      <protection locked="0"/>
    </xf>
    <xf numFmtId="0" fontId="3" fillId="20" borderId="5" xfId="0" applyFont="1" applyFill="1" applyBorder="1" applyAlignment="1" applyProtection="1">
      <alignment horizontal="center" vertical="center" wrapText="1"/>
      <protection locked="0"/>
    </xf>
    <xf numFmtId="0" fontId="3" fillId="20" borderId="2" xfId="0" applyFont="1" applyFill="1" applyBorder="1" applyAlignment="1" applyProtection="1">
      <alignment horizontal="center" vertical="center" wrapText="1"/>
      <protection locked="0"/>
    </xf>
    <xf numFmtId="0" fontId="21" fillId="21" borderId="1" xfId="0" applyFont="1" applyFill="1" applyBorder="1" applyAlignment="1" applyProtection="1">
      <alignment horizontal="center" vertical="center" wrapText="1"/>
      <protection locked="0"/>
    </xf>
    <xf numFmtId="0" fontId="3" fillId="20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textRotation="90"/>
    </xf>
    <xf numFmtId="41" fontId="23" fillId="16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left" vertical="center" wrapText="1"/>
    </xf>
    <xf numFmtId="41" fontId="23" fillId="16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1" fillId="20" borderId="1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25" fillId="16" borderId="1" xfId="0" applyFont="1" applyFill="1" applyBorder="1" applyAlignment="1" applyProtection="1">
      <alignment horizontal="left" vertical="center"/>
      <protection locked="0"/>
    </xf>
    <xf numFmtId="0" fontId="26" fillId="5" borderId="1" xfId="0" applyFont="1" applyFill="1" applyBorder="1" applyAlignment="1" applyProtection="1">
      <alignment horizontal="justify" vertical="center" wrapText="1"/>
      <protection locked="0"/>
    </xf>
    <xf numFmtId="0" fontId="25" fillId="16" borderId="6" xfId="0" applyFont="1" applyFill="1" applyBorder="1" applyAlignment="1" applyProtection="1">
      <alignment horizontal="center" vertical="center"/>
      <protection locked="0"/>
    </xf>
    <xf numFmtId="0" fontId="25" fillId="16" borderId="5" xfId="0" applyFont="1" applyFill="1" applyBorder="1" applyAlignment="1" applyProtection="1">
      <alignment horizontal="center" vertical="center"/>
      <protection locked="0"/>
    </xf>
    <xf numFmtId="166" fontId="25" fillId="16" borderId="1" xfId="3" applyFont="1" applyFill="1" applyBorder="1" applyAlignment="1" applyProtection="1">
      <alignment horizontal="center" vertical="center" wrapText="1"/>
      <protection locked="0"/>
    </xf>
    <xf numFmtId="168" fontId="23" fillId="16" borderId="1" xfId="3" applyNumberFormat="1" applyFont="1" applyFill="1" applyBorder="1" applyAlignment="1" applyProtection="1">
      <alignment horizontal="center" vertical="center" wrapText="1"/>
    </xf>
    <xf numFmtId="0" fontId="25" fillId="16" borderId="27" xfId="0" applyFont="1" applyFill="1" applyBorder="1" applyAlignment="1" applyProtection="1">
      <alignment horizontal="center" vertical="center" wrapText="1"/>
      <protection locked="0"/>
    </xf>
    <xf numFmtId="0" fontId="25" fillId="16" borderId="3" xfId="0" applyFont="1" applyFill="1" applyBorder="1" applyAlignment="1" applyProtection="1">
      <alignment horizontal="center" vertical="center" wrapText="1"/>
      <protection locked="0"/>
    </xf>
    <xf numFmtId="0" fontId="25" fillId="16" borderId="1" xfId="0" applyFont="1" applyFill="1" applyBorder="1" applyAlignment="1" applyProtection="1">
      <alignment horizontal="center" vertical="center" wrapText="1"/>
      <protection locked="0"/>
    </xf>
    <xf numFmtId="0" fontId="25" fillId="16" borderId="1" xfId="0" applyFont="1" applyFill="1" applyBorder="1" applyAlignment="1" applyProtection="1">
      <alignment horizontal="center" vertical="center"/>
      <protection locked="0"/>
    </xf>
    <xf numFmtId="0" fontId="23" fillId="16" borderId="27" xfId="0" applyFont="1" applyFill="1" applyBorder="1" applyAlignment="1" applyProtection="1">
      <alignment horizontal="center" vertical="center" wrapText="1"/>
      <protection locked="0"/>
    </xf>
    <xf numFmtId="0" fontId="23" fillId="16" borderId="3" xfId="0" applyFont="1" applyFill="1" applyBorder="1" applyAlignment="1" applyProtection="1">
      <alignment horizontal="center" vertical="center" wrapText="1"/>
      <protection locked="0"/>
    </xf>
  </cellXfs>
  <cellStyles count="15">
    <cellStyle name="Moeda 2" xfId="5" xr:uid="{00000000-0005-0000-0000-000000000000}"/>
    <cellStyle name="Neutro" xfId="1" builtinId="28"/>
    <cellStyle name="Normal" xfId="0" builtinId="0"/>
    <cellStyle name="Normal 2" xfId="4" xr:uid="{00000000-0005-0000-0000-000003000000}"/>
    <cellStyle name="Normal 2 2" xfId="13" xr:uid="{00000000-0005-0000-0000-000004000000}"/>
    <cellStyle name="Normal 3" xfId="7" xr:uid="{00000000-0005-0000-0000-000005000000}"/>
    <cellStyle name="Normal 3 2" xfId="8" xr:uid="{00000000-0005-0000-0000-000006000000}"/>
    <cellStyle name="Normal 3 2 2" xfId="12" xr:uid="{00000000-0005-0000-0000-000007000000}"/>
    <cellStyle name="Porcentagem" xfId="2" builtinId="5"/>
    <cellStyle name="Porcentagem 2" xfId="11" xr:uid="{00000000-0005-0000-0000-000009000000}"/>
    <cellStyle name="Separador de milhares 2" xfId="14" xr:uid="{00000000-0005-0000-0000-00000A000000}"/>
    <cellStyle name="Vírgula" xfId="3" builtinId="3"/>
    <cellStyle name="Vírgula 2" xfId="6" xr:uid="{00000000-0005-0000-0000-00000C000000}"/>
    <cellStyle name="Vírgula 2 2" xfId="10" xr:uid="{00000000-0005-0000-0000-00000D000000}"/>
    <cellStyle name="Vírgula 4" xfId="9" xr:uid="{00000000-0005-0000-0000-00000E000000}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900"/>
      <color rgb="FFFFCFAF"/>
      <color rgb="FFFFF3EB"/>
      <color rgb="FFFFF5D9"/>
      <color rgb="FFFF6600"/>
      <color rgb="FFFFCD00"/>
      <color rgb="FF530053"/>
      <color rgb="FFF09C68"/>
      <color rgb="FF2A5664"/>
      <color rgb="FFE4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</xdr:row>
      <xdr:rowOff>179917</xdr:rowOff>
    </xdr:from>
    <xdr:to>
      <xdr:col>38</xdr:col>
      <xdr:colOff>0</xdr:colOff>
      <xdr:row>17</xdr:row>
      <xdr:rowOff>17318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74523" y="2006985"/>
          <a:ext cx="3636818" cy="17077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/>
            <a:t>Selecione seu </a:t>
          </a:r>
          <a:br>
            <a:rPr lang="pt-BR" sz="3200"/>
          </a:br>
          <a:r>
            <a:rPr lang="pt-BR" sz="3200"/>
            <a:t>UF</a:t>
          </a:r>
        </a:p>
        <a:p>
          <a:pPr algn="ctr"/>
          <a:r>
            <a:rPr lang="pt-BR" sz="3200"/>
            <a:t>na célula AI2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876300</xdr:colOff>
      <xdr:row>5</xdr:row>
      <xdr:rowOff>142875</xdr:rowOff>
    </xdr:from>
    <xdr:to>
      <xdr:col>12</xdr:col>
      <xdr:colOff>7448550</xdr:colOff>
      <xdr:row>9</xdr:row>
      <xdr:rowOff>38100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020925" y="1905000"/>
          <a:ext cx="6572250" cy="1457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Insira acima os Objetivos Estratégico Locais definido para o CAU/UF</a:t>
          </a:r>
          <a:br>
            <a:rPr lang="pt-BR" sz="2400"/>
          </a:br>
          <a:r>
            <a:rPr lang="pt-BR" sz="2400"/>
            <a:t>De 2 a 3 objetivos (iguais ao Mapa Estratégico)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69850</xdr:rowOff>
        </xdr:from>
        <xdr:to>
          <xdr:col>10</xdr:col>
          <xdr:colOff>584200</xdr:colOff>
          <xdr:row>3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2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mapa estratégico,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2024.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329046</xdr:colOff>
      <xdr:row>4</xdr:row>
      <xdr:rowOff>2762250</xdr:rowOff>
    </xdr:from>
    <xdr:to>
      <xdr:col>7</xdr:col>
      <xdr:colOff>155814</xdr:colOff>
      <xdr:row>4</xdr:row>
      <xdr:rowOff>3758046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359728" y="9308523"/>
          <a:ext cx="1039041" cy="995796"/>
        </a:xfrm>
        <a:prstGeom prst="roundRect">
          <a:avLst>
            <a:gd name="adj" fmla="val 9648"/>
          </a:avLst>
        </a:prstGeom>
        <a:noFill/>
        <a:ln w="76200">
          <a:solidFill>
            <a:srgbClr val="FF6600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36000" rIns="3600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pt-BR" sz="1200">
            <a:solidFill>
              <a:prstClr val="black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242455</xdr:colOff>
      <xdr:row>4</xdr:row>
      <xdr:rowOff>2753590</xdr:rowOff>
    </xdr:from>
    <xdr:to>
      <xdr:col>9</xdr:col>
      <xdr:colOff>69224</xdr:colOff>
      <xdr:row>4</xdr:row>
      <xdr:rowOff>3749386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4485410" y="9299863"/>
          <a:ext cx="1039041" cy="995796"/>
        </a:xfrm>
        <a:prstGeom prst="roundRect">
          <a:avLst>
            <a:gd name="adj" fmla="val 9648"/>
          </a:avLst>
        </a:prstGeom>
        <a:noFill/>
        <a:ln w="76200">
          <a:solidFill>
            <a:srgbClr val="FF6600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36000" rIns="3600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pt-BR" sz="1200">
            <a:solidFill>
              <a:prstClr val="black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225136</xdr:colOff>
      <xdr:row>4</xdr:row>
      <xdr:rowOff>1705840</xdr:rowOff>
    </xdr:from>
    <xdr:to>
      <xdr:col>9</xdr:col>
      <xdr:colOff>51905</xdr:colOff>
      <xdr:row>4</xdr:row>
      <xdr:rowOff>2701636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468091" y="8252113"/>
          <a:ext cx="1039041" cy="995796"/>
        </a:xfrm>
        <a:prstGeom prst="roundRect">
          <a:avLst>
            <a:gd name="adj" fmla="val 9648"/>
          </a:avLst>
        </a:prstGeom>
        <a:noFill/>
        <a:ln w="76200">
          <a:solidFill>
            <a:srgbClr val="FF6600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36000" rIns="3600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pt-BR" sz="1200">
            <a:solidFill>
              <a:prstClr val="black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233795</xdr:colOff>
      <xdr:row>4</xdr:row>
      <xdr:rowOff>606135</xdr:rowOff>
    </xdr:from>
    <xdr:to>
      <xdr:col>9</xdr:col>
      <xdr:colOff>60564</xdr:colOff>
      <xdr:row>4</xdr:row>
      <xdr:rowOff>1601931</xdr:rowOff>
    </xdr:to>
    <xdr:sp macro="" textlink="">
      <xdr:nvSpPr>
        <xdr:cNvPr id="13" name="AutoShape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4476750" y="7152408"/>
          <a:ext cx="1039041" cy="995796"/>
        </a:xfrm>
        <a:prstGeom prst="roundRect">
          <a:avLst>
            <a:gd name="adj" fmla="val 9648"/>
          </a:avLst>
        </a:prstGeom>
        <a:noFill/>
        <a:ln w="76200">
          <a:solidFill>
            <a:srgbClr val="FF6600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36000" rIns="3600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pt-BR" sz="1200">
            <a:solidFill>
              <a:prstClr val="black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484910</xdr:colOff>
      <xdr:row>4</xdr:row>
      <xdr:rowOff>1679864</xdr:rowOff>
    </xdr:from>
    <xdr:to>
      <xdr:col>3</xdr:col>
      <xdr:colOff>311678</xdr:colOff>
      <xdr:row>4</xdr:row>
      <xdr:rowOff>2675660</xdr:rowOff>
    </xdr:to>
    <xdr:sp macro="" textlink="">
      <xdr:nvSpPr>
        <xdr:cNvPr id="14" name="AutoShape 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091046" y="8226137"/>
          <a:ext cx="1039041" cy="995796"/>
        </a:xfrm>
        <a:prstGeom prst="roundRect">
          <a:avLst>
            <a:gd name="adj" fmla="val 9648"/>
          </a:avLst>
        </a:prstGeom>
        <a:noFill/>
        <a:ln w="76200">
          <a:solidFill>
            <a:srgbClr val="FF6600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36000" rIns="3600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pt-BR" sz="1200">
            <a:solidFill>
              <a:prstClr val="black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P36"/>
  <sheetViews>
    <sheetView showGridLines="0" topLeftCell="AH2" zoomScale="120" zoomScaleNormal="120" workbookViewId="0">
      <selection activeCell="AI24" sqref="AI24"/>
    </sheetView>
  </sheetViews>
  <sheetFormatPr defaultColWidth="0" defaultRowHeight="15.5" zeroHeight="1" x14ac:dyDescent="0.35"/>
  <cols>
    <col min="1" max="1" width="13.26953125" style="14" hidden="1" customWidth="1"/>
    <col min="2" max="2" width="15.453125" style="13" hidden="1" customWidth="1"/>
    <col min="3" max="9" width="15.54296875" style="13" hidden="1" customWidth="1"/>
    <col min="10" max="10" width="16.1796875" style="11" hidden="1" customWidth="1"/>
    <col min="11" max="11" width="13.26953125" style="12" hidden="1" customWidth="1"/>
    <col min="12" max="14" width="15.453125" style="11" hidden="1" customWidth="1"/>
    <col min="15" max="15" width="2.26953125" style="11" hidden="1" customWidth="1"/>
    <col min="16" max="17" width="16.453125" style="11" hidden="1" customWidth="1"/>
    <col min="18" max="18" width="2.81640625" style="10" hidden="1" customWidth="1"/>
    <col min="19" max="19" width="16.1796875" style="11" hidden="1" customWidth="1"/>
    <col min="20" max="20" width="2.81640625" style="10" hidden="1" customWidth="1"/>
    <col min="21" max="21" width="16.453125" style="179" hidden="1" customWidth="1"/>
    <col min="22" max="22" width="19.81640625" style="179" hidden="1" customWidth="1"/>
    <col min="23" max="23" width="16.453125" style="176" hidden="1" customWidth="1"/>
    <col min="24" max="24" width="16.453125" style="8" hidden="1" customWidth="1"/>
    <col min="25" max="25" width="16.453125" style="9" hidden="1" customWidth="1"/>
    <col min="26" max="26" width="16.453125" style="8" hidden="1" customWidth="1"/>
    <col min="27" max="27" width="2.81640625" hidden="1" customWidth="1"/>
    <col min="28" max="28" width="11.26953125" hidden="1" customWidth="1"/>
    <col min="29" max="29" width="4.453125" hidden="1" customWidth="1"/>
    <col min="30" max="30" width="18.81640625" hidden="1" customWidth="1"/>
    <col min="31" max="31" width="4.7265625" hidden="1" customWidth="1"/>
    <col min="32" max="32" width="18.81640625" style="8" hidden="1" customWidth="1"/>
    <col min="33" max="33" width="9.81640625" hidden="1" customWidth="1"/>
    <col min="34" max="34" width="39.1796875" style="2" bestFit="1" customWidth="1"/>
    <col min="35" max="35" width="15.7265625" style="2" bestFit="1" customWidth="1"/>
    <col min="36" max="36" width="4.81640625" customWidth="1"/>
    <col min="37" max="37" width="39" style="2" bestFit="1" customWidth="1"/>
    <col min="38" max="38" width="15.54296875" bestFit="1" customWidth="1"/>
    <col min="39" max="41" width="9.1796875" hidden="1" customWidth="1"/>
    <col min="42" max="42" width="12.453125" hidden="1" customWidth="1"/>
    <col min="43" max="16384" width="9.1796875" hidden="1"/>
  </cols>
  <sheetData>
    <row r="1" spans="1:42" ht="16" hidden="1" thickBot="1" x14ac:dyDescent="0.4">
      <c r="A1" s="300" t="s">
        <v>0</v>
      </c>
      <c r="B1" s="301">
        <v>0.8</v>
      </c>
      <c r="C1" s="301"/>
      <c r="D1" s="301"/>
      <c r="E1" s="301"/>
      <c r="F1" s="301"/>
      <c r="G1" s="301"/>
      <c r="H1" s="301"/>
      <c r="I1" s="301"/>
      <c r="J1" s="301"/>
      <c r="L1" s="307" t="s">
        <v>1</v>
      </c>
      <c r="M1" s="308"/>
      <c r="N1" s="309"/>
      <c r="P1" s="308" t="s">
        <v>2</v>
      </c>
      <c r="Q1" s="308"/>
      <c r="S1" s="308" t="s">
        <v>3</v>
      </c>
      <c r="U1" s="313" t="s">
        <v>4</v>
      </c>
      <c r="V1" s="313"/>
      <c r="W1" s="313"/>
      <c r="X1" s="313"/>
      <c r="Y1" s="313"/>
      <c r="Z1" s="313"/>
    </row>
    <row r="2" spans="1:42" s="36" customFormat="1" ht="16" thickBot="1" x14ac:dyDescent="0.4">
      <c r="A2" s="300"/>
      <c r="B2" s="302" t="s">
        <v>5</v>
      </c>
      <c r="C2" s="302"/>
      <c r="D2" s="302"/>
      <c r="E2" s="302" t="s">
        <v>6</v>
      </c>
      <c r="F2" s="302"/>
      <c r="G2" s="302"/>
      <c r="H2" s="303" t="s">
        <v>7</v>
      </c>
      <c r="I2" s="303" t="s">
        <v>8</v>
      </c>
      <c r="J2" s="306" t="s">
        <v>9</v>
      </c>
      <c r="K2" s="39"/>
      <c r="L2" s="310"/>
      <c r="M2" s="311"/>
      <c r="N2" s="312"/>
      <c r="O2" s="38"/>
      <c r="P2" s="311"/>
      <c r="Q2" s="311"/>
      <c r="R2" s="37"/>
      <c r="S2" s="311"/>
      <c r="T2" s="37"/>
      <c r="U2" s="302" t="s">
        <v>5</v>
      </c>
      <c r="V2" s="302"/>
      <c r="W2" s="302"/>
      <c r="X2" s="302" t="s">
        <v>6</v>
      </c>
      <c r="Y2" s="302"/>
      <c r="Z2" s="127" t="s">
        <v>7</v>
      </c>
      <c r="AB2" s="314" t="s">
        <v>10</v>
      </c>
      <c r="AD2" s="314" t="s">
        <v>11</v>
      </c>
      <c r="AF2" s="305" t="s">
        <v>12</v>
      </c>
      <c r="AH2" s="173" t="s">
        <v>13</v>
      </c>
      <c r="AI2" s="183" t="s">
        <v>14</v>
      </c>
      <c r="AK2" s="299" t="s">
        <v>15</v>
      </c>
      <c r="AL2" s="299"/>
    </row>
    <row r="3" spans="1:42" s="32" customFormat="1" ht="44" thickBot="1" x14ac:dyDescent="0.4">
      <c r="A3" s="300"/>
      <c r="B3" s="124" t="s">
        <v>16</v>
      </c>
      <c r="C3" s="124" t="s">
        <v>17</v>
      </c>
      <c r="D3" s="124" t="s">
        <v>18</v>
      </c>
      <c r="E3" s="124" t="s">
        <v>16</v>
      </c>
      <c r="F3" s="124" t="s">
        <v>17</v>
      </c>
      <c r="G3" s="124" t="s">
        <v>18</v>
      </c>
      <c r="H3" s="304"/>
      <c r="I3" s="304"/>
      <c r="J3" s="304"/>
      <c r="K3" s="35"/>
      <c r="L3" s="124" t="s">
        <v>19</v>
      </c>
      <c r="M3" s="124" t="s">
        <v>20</v>
      </c>
      <c r="N3" s="124" t="s">
        <v>21</v>
      </c>
      <c r="O3" s="34"/>
      <c r="P3" s="125" t="s">
        <v>22</v>
      </c>
      <c r="Q3" s="125" t="s">
        <v>23</v>
      </c>
      <c r="R3" s="33"/>
      <c r="S3" s="126" t="s">
        <v>24</v>
      </c>
      <c r="T3" s="33"/>
      <c r="U3" s="177" t="s">
        <v>25</v>
      </c>
      <c r="V3" s="177" t="s">
        <v>26</v>
      </c>
      <c r="W3" s="174" t="s">
        <v>27</v>
      </c>
      <c r="X3" s="129" t="s">
        <v>28</v>
      </c>
      <c r="Y3" s="128" t="s">
        <v>27</v>
      </c>
      <c r="Z3" s="130" t="s">
        <v>28</v>
      </c>
      <c r="AB3" s="315"/>
      <c r="AD3" s="315"/>
      <c r="AF3" s="305"/>
      <c r="AH3" s="27" t="s">
        <v>29</v>
      </c>
      <c r="AI3" s="31">
        <f>AI4+AI14+AI15+AI16</f>
        <v>13867683.309999999</v>
      </c>
      <c r="AK3" s="27" t="s">
        <v>30</v>
      </c>
      <c r="AL3" s="26">
        <f>VLOOKUP($AI$2,'Diretrizes - Resumo'!$A$4:$AF$30,16,)</f>
        <v>1071282.72</v>
      </c>
    </row>
    <row r="4" spans="1:42" ht="16" thickBot="1" x14ac:dyDescent="0.4">
      <c r="A4" s="131" t="s">
        <v>31</v>
      </c>
      <c r="B4" s="13">
        <v>199775.49</v>
      </c>
      <c r="C4" s="13">
        <v>50831.97</v>
      </c>
      <c r="D4" s="18">
        <f t="shared" ref="D4" si="0">B4+C4</f>
        <v>250607.46</v>
      </c>
      <c r="E4" s="13">
        <v>21035.86</v>
      </c>
      <c r="F4" s="13">
        <v>15616.73</v>
      </c>
      <c r="G4" s="18">
        <f t="shared" ref="G4" si="1">E4+F4</f>
        <v>36652.589999999997</v>
      </c>
      <c r="H4" s="13">
        <v>294395.90000000002</v>
      </c>
      <c r="I4" s="13">
        <v>40664.76</v>
      </c>
      <c r="J4" s="18">
        <f t="shared" ref="J4:J30" si="2">I4+H4+G4+D4</f>
        <v>622320.71</v>
      </c>
      <c r="K4" s="40">
        <v>0</v>
      </c>
      <c r="L4" s="13">
        <v>11574.73</v>
      </c>
      <c r="M4" s="13">
        <v>23625.16</v>
      </c>
      <c r="N4" s="13">
        <v>932276.14479999989</v>
      </c>
      <c r="P4" s="13">
        <v>47917</v>
      </c>
      <c r="Q4" s="13">
        <v>6204.49</v>
      </c>
      <c r="S4" s="13">
        <v>3028.56</v>
      </c>
      <c r="T4" s="13"/>
      <c r="U4" s="178">
        <v>810</v>
      </c>
      <c r="V4" s="178">
        <v>797</v>
      </c>
      <c r="W4" s="175">
        <v>0.4175680893439776</v>
      </c>
      <c r="X4" s="178">
        <v>197</v>
      </c>
      <c r="Y4" s="175">
        <v>0.59898477157360408</v>
      </c>
      <c r="Z4" s="178">
        <v>3072</v>
      </c>
      <c r="AA4" s="13"/>
      <c r="AB4" s="13"/>
      <c r="AC4" s="13"/>
      <c r="AD4" s="13">
        <v>763867.72000000009</v>
      </c>
      <c r="AE4" s="11"/>
      <c r="AF4" s="77">
        <v>830026</v>
      </c>
      <c r="AH4" s="22" t="s">
        <v>32</v>
      </c>
      <c r="AI4" s="31">
        <f>AI5+AI12+AI13</f>
        <v>13810599.309999999</v>
      </c>
      <c r="AK4" s="22" t="s">
        <v>33</v>
      </c>
      <c r="AL4" s="26">
        <f>VLOOKUP($AI$2,'Diretrizes - Resumo'!$A$4:$AF$30,17,)</f>
        <v>139896.03</v>
      </c>
      <c r="AP4" s="16"/>
    </row>
    <row r="5" spans="1:42" ht="16" thickBot="1" x14ac:dyDescent="0.4">
      <c r="A5" s="131" t="s">
        <v>34</v>
      </c>
      <c r="B5" s="13">
        <v>637415.41</v>
      </c>
      <c r="C5" s="13">
        <v>150894.57999999999</v>
      </c>
      <c r="D5" s="18">
        <f t="shared" ref="D5:D30" si="3">B5+C5</f>
        <v>788309.99</v>
      </c>
      <c r="E5" s="13">
        <v>21259.47</v>
      </c>
      <c r="F5" s="13">
        <v>26731.74</v>
      </c>
      <c r="G5" s="18">
        <f t="shared" ref="G5:G30" si="4">E5+F5</f>
        <v>47991.210000000006</v>
      </c>
      <c r="H5" s="13">
        <v>894687.55</v>
      </c>
      <c r="I5" s="13">
        <v>85904.58</v>
      </c>
      <c r="J5" s="18">
        <f t="shared" si="2"/>
        <v>1816893.33</v>
      </c>
      <c r="K5" s="40">
        <v>0</v>
      </c>
      <c r="L5" s="13">
        <v>33789.870000000003</v>
      </c>
      <c r="M5" s="13"/>
      <c r="N5" s="13"/>
      <c r="P5" s="13">
        <v>141905.78</v>
      </c>
      <c r="Q5" s="13">
        <v>18353.019999999997</v>
      </c>
      <c r="S5" s="13">
        <v>7129.63</v>
      </c>
      <c r="T5" s="13"/>
      <c r="U5" s="178">
        <v>2408</v>
      </c>
      <c r="V5" s="178">
        <v>2298</v>
      </c>
      <c r="W5" s="175">
        <v>0.33592793406868943</v>
      </c>
      <c r="X5" s="178">
        <v>206</v>
      </c>
      <c r="Y5" s="175">
        <v>0.61165048543689327</v>
      </c>
      <c r="Z5" s="180">
        <v>9336</v>
      </c>
      <c r="AA5" s="13"/>
      <c r="AB5" s="13"/>
      <c r="AC5" s="13"/>
      <c r="AD5" s="13">
        <v>1491564.8399999999</v>
      </c>
      <c r="AE5" s="11"/>
      <c r="AF5" s="77">
        <v>3127511</v>
      </c>
      <c r="AH5" s="22" t="s">
        <v>35</v>
      </c>
      <c r="AI5" s="31">
        <f>AI6+AI9</f>
        <v>7006162.6799999997</v>
      </c>
      <c r="AK5" s="22" t="s">
        <v>36</v>
      </c>
      <c r="AL5" s="26">
        <f>VLOOKUP($AI$2,'Diretrizes - Resumo'!$A$4:$AF$30,12,)</f>
        <v>256850.45</v>
      </c>
      <c r="AP5" s="16"/>
    </row>
    <row r="6" spans="1:42" ht="16" thickBot="1" x14ac:dyDescent="0.4">
      <c r="A6" s="131" t="s">
        <v>37</v>
      </c>
      <c r="B6" s="13">
        <v>646854.02</v>
      </c>
      <c r="C6" s="13">
        <v>202498.47</v>
      </c>
      <c r="D6" s="18">
        <f t="shared" si="3"/>
        <v>849352.49</v>
      </c>
      <c r="E6" s="13">
        <v>28185.71</v>
      </c>
      <c r="F6" s="13">
        <v>30503.82</v>
      </c>
      <c r="G6" s="18">
        <f t="shared" si="4"/>
        <v>58689.53</v>
      </c>
      <c r="H6" s="13">
        <v>797130.58</v>
      </c>
      <c r="I6" s="13">
        <v>79288.639999999999</v>
      </c>
      <c r="J6" s="18">
        <f t="shared" si="2"/>
        <v>1784461.24</v>
      </c>
      <c r="K6" s="40">
        <v>0</v>
      </c>
      <c r="L6" s="13">
        <v>33180.800000000003</v>
      </c>
      <c r="M6" s="13"/>
      <c r="N6" s="13"/>
      <c r="P6" s="13">
        <v>140617.48000000001</v>
      </c>
      <c r="Q6" s="13">
        <v>17995.64</v>
      </c>
      <c r="S6" s="13">
        <v>6706.87</v>
      </c>
      <c r="T6" s="13"/>
      <c r="U6" s="178">
        <v>2650</v>
      </c>
      <c r="V6" s="178">
        <v>2619</v>
      </c>
      <c r="W6" s="175">
        <v>0.42485271750185855</v>
      </c>
      <c r="X6" s="178">
        <v>361</v>
      </c>
      <c r="Y6" s="175">
        <v>0.70360110803324105</v>
      </c>
      <c r="Z6" s="180">
        <v>8318</v>
      </c>
      <c r="AA6" s="13"/>
      <c r="AB6" s="13"/>
      <c r="AC6" s="13"/>
      <c r="AD6" s="13">
        <v>1682727.07</v>
      </c>
      <c r="AE6" s="11"/>
      <c r="AF6" s="77">
        <v>3941175</v>
      </c>
      <c r="AH6" s="22" t="s">
        <v>38</v>
      </c>
      <c r="AI6" s="30">
        <f>SUM(AI7:AI8)</f>
        <v>6560754.6799999997</v>
      </c>
      <c r="AK6" s="22" t="s">
        <v>39</v>
      </c>
      <c r="AL6" s="26">
        <f>VLOOKUP($AI$2,'Diretrizes - Resumo'!$A$4:$AF$30,13,)</f>
        <v>0</v>
      </c>
      <c r="AP6" s="16"/>
    </row>
    <row r="7" spans="1:42" ht="16" thickBot="1" x14ac:dyDescent="0.4">
      <c r="A7" s="131" t="s">
        <v>40</v>
      </c>
      <c r="B7" s="13">
        <v>218824.12</v>
      </c>
      <c r="C7" s="13">
        <v>92121.73</v>
      </c>
      <c r="D7" s="18">
        <f t="shared" si="3"/>
        <v>310945.84999999998</v>
      </c>
      <c r="E7" s="13">
        <v>31785.78</v>
      </c>
      <c r="F7" s="13">
        <v>38672.339999999997</v>
      </c>
      <c r="G7" s="18">
        <f t="shared" si="4"/>
        <v>70458.12</v>
      </c>
      <c r="H7" s="13">
        <v>404411.04</v>
      </c>
      <c r="I7" s="13">
        <v>52283.58</v>
      </c>
      <c r="J7" s="18">
        <f t="shared" si="2"/>
        <v>838098.59</v>
      </c>
      <c r="K7" s="40">
        <v>0</v>
      </c>
      <c r="L7" s="13">
        <v>15585.33</v>
      </c>
      <c r="M7" s="13">
        <v>14840</v>
      </c>
      <c r="N7" s="13">
        <v>741550.4381599999</v>
      </c>
      <c r="P7" s="13">
        <v>62629.760000000002</v>
      </c>
      <c r="Q7" s="13">
        <v>7990.6500000000005</v>
      </c>
      <c r="S7" s="13">
        <v>3304.86</v>
      </c>
      <c r="T7" s="13"/>
      <c r="U7" s="178">
        <v>948</v>
      </c>
      <c r="V7" s="178">
        <v>940</v>
      </c>
      <c r="W7" s="175">
        <v>0.4380002813331369</v>
      </c>
      <c r="X7" s="178">
        <v>398</v>
      </c>
      <c r="Y7" s="175">
        <v>0.70351758793969854</v>
      </c>
      <c r="Z7" s="180">
        <v>4220</v>
      </c>
      <c r="AA7" s="13"/>
      <c r="AB7" s="13"/>
      <c r="AC7" s="13"/>
      <c r="AD7" s="13">
        <v>890032.54</v>
      </c>
      <c r="AE7" s="11"/>
      <c r="AF7" s="77">
        <v>733508</v>
      </c>
      <c r="AH7" s="28" t="s">
        <v>41</v>
      </c>
      <c r="AI7" s="26">
        <f>VLOOKUP($AI$2,'Diretrizes - Resumo'!$A$4:$AF$30,2,)</f>
        <v>5661587.5</v>
      </c>
      <c r="AK7" s="45" t="s">
        <v>10</v>
      </c>
      <c r="AL7" s="44">
        <f>VLOOKUP($AI$2,$A$4:$AD$30,29,)</f>
        <v>0</v>
      </c>
      <c r="AP7" s="16"/>
    </row>
    <row r="8" spans="1:42" ht="16" thickBot="1" x14ac:dyDescent="0.4">
      <c r="A8" s="131" t="s">
        <v>42</v>
      </c>
      <c r="B8" s="13">
        <v>2072430.36</v>
      </c>
      <c r="C8" s="13">
        <v>468056.2</v>
      </c>
      <c r="D8" s="18">
        <f t="shared" si="3"/>
        <v>2540486.56</v>
      </c>
      <c r="E8" s="13">
        <v>123973.51</v>
      </c>
      <c r="F8" s="13">
        <v>111757.77</v>
      </c>
      <c r="G8" s="18">
        <f t="shared" si="4"/>
        <v>235731.28</v>
      </c>
      <c r="H8" s="13">
        <v>2434995.29</v>
      </c>
      <c r="I8" s="13">
        <v>249922.3</v>
      </c>
      <c r="J8" s="18">
        <f t="shared" si="2"/>
        <v>5461135.4299999997</v>
      </c>
      <c r="K8" s="40">
        <v>0</v>
      </c>
      <c r="L8" s="13">
        <v>101574.18</v>
      </c>
      <c r="M8" s="13"/>
      <c r="N8" s="13"/>
      <c r="P8" s="13">
        <v>433447.85</v>
      </c>
      <c r="Q8" s="13">
        <v>56512.35</v>
      </c>
      <c r="S8" s="13">
        <v>16155.58</v>
      </c>
      <c r="T8" s="13"/>
      <c r="U8" s="178">
        <v>8319</v>
      </c>
      <c r="V8" s="178">
        <v>7412</v>
      </c>
      <c r="W8" s="175">
        <v>0.31745889300209945</v>
      </c>
      <c r="X8" s="178">
        <v>1181</v>
      </c>
      <c r="Y8" s="175">
        <v>0.60795935647756139</v>
      </c>
      <c r="Z8" s="180">
        <v>25409</v>
      </c>
      <c r="AA8" s="13"/>
      <c r="AB8" s="13"/>
      <c r="AC8" s="13"/>
      <c r="AD8" s="13">
        <v>10977447.08</v>
      </c>
      <c r="AE8" s="11"/>
      <c r="AF8" s="77">
        <v>14136417</v>
      </c>
      <c r="AH8" s="28" t="s">
        <v>43</v>
      </c>
      <c r="AI8" s="26">
        <f>VLOOKUP($AI$2,'Diretrizes - Resumo'!$A$4:$AF$30,3,)</f>
        <v>899167.18</v>
      </c>
      <c r="AK8" s="22" t="s">
        <v>44</v>
      </c>
      <c r="AL8" s="26">
        <f>VLOOKUP($AI$2,'Diretrizes - Resumo'!$A$4:$AF$30,30,)</f>
        <v>16972819.699999999</v>
      </c>
      <c r="AP8" s="16"/>
    </row>
    <row r="9" spans="1:42" ht="16" thickBot="1" x14ac:dyDescent="0.4">
      <c r="A9" s="131" t="s">
        <v>45</v>
      </c>
      <c r="B9" s="13">
        <v>1430008.66</v>
      </c>
      <c r="C9" s="13">
        <v>246481.82</v>
      </c>
      <c r="D9" s="18">
        <f t="shared" si="3"/>
        <v>1676490.48</v>
      </c>
      <c r="E9" s="13">
        <v>71766.78</v>
      </c>
      <c r="F9" s="13">
        <v>36770.480000000003</v>
      </c>
      <c r="G9" s="18">
        <f t="shared" si="4"/>
        <v>108537.26000000001</v>
      </c>
      <c r="H9" s="13">
        <v>1674951.7</v>
      </c>
      <c r="I9" s="13">
        <v>237442.61</v>
      </c>
      <c r="J9" s="18">
        <f t="shared" si="2"/>
        <v>3697422.05</v>
      </c>
      <c r="K9" s="40">
        <v>0</v>
      </c>
      <c r="L9" s="13">
        <v>68762.679999999993</v>
      </c>
      <c r="M9" s="13"/>
      <c r="N9" s="13"/>
      <c r="P9" s="13">
        <v>293869.21000000002</v>
      </c>
      <c r="Q9" s="13">
        <v>38343.39</v>
      </c>
      <c r="S9" s="13">
        <v>10576.38</v>
      </c>
      <c r="T9" s="13"/>
      <c r="U9" s="178">
        <v>5594</v>
      </c>
      <c r="V9" s="178">
        <v>5364</v>
      </c>
      <c r="W9" s="175">
        <v>0.35031602398493639</v>
      </c>
      <c r="X9" s="178">
        <v>580</v>
      </c>
      <c r="Y9" s="175">
        <v>0.5379310344827587</v>
      </c>
      <c r="Z9" s="180">
        <v>17478</v>
      </c>
      <c r="AA9" s="13"/>
      <c r="AB9" s="13"/>
      <c r="AC9" s="13"/>
      <c r="AD9" s="13">
        <v>3259254.46</v>
      </c>
      <c r="AE9" s="11"/>
      <c r="AF9" s="77">
        <v>8791688</v>
      </c>
      <c r="AH9" s="22" t="s">
        <v>46</v>
      </c>
      <c r="AI9" s="29">
        <f>SUM(AI10:AI11)</f>
        <v>445408</v>
      </c>
      <c r="AP9" s="16"/>
    </row>
    <row r="10" spans="1:42" ht="16" thickBot="1" x14ac:dyDescent="0.4">
      <c r="A10" s="131" t="s">
        <v>47</v>
      </c>
      <c r="B10" s="13">
        <v>2079832.22</v>
      </c>
      <c r="C10" s="13">
        <v>444034.19</v>
      </c>
      <c r="D10" s="18">
        <f t="shared" si="3"/>
        <v>2523866.41</v>
      </c>
      <c r="E10" s="13">
        <v>115482.02</v>
      </c>
      <c r="F10" s="13">
        <v>58293.42</v>
      </c>
      <c r="G10" s="18">
        <f t="shared" si="4"/>
        <v>173775.44</v>
      </c>
      <c r="H10" s="13">
        <v>1730150.93</v>
      </c>
      <c r="I10" s="13">
        <v>353311.08</v>
      </c>
      <c r="J10" s="18">
        <f t="shared" si="2"/>
        <v>4781103.8600000003</v>
      </c>
      <c r="K10" s="40">
        <v>0</v>
      </c>
      <c r="L10" s="13">
        <v>87809.62</v>
      </c>
      <c r="M10" s="13"/>
      <c r="N10" s="13"/>
      <c r="P10" s="13">
        <v>360071.78</v>
      </c>
      <c r="Q10" s="13">
        <v>50602.63</v>
      </c>
      <c r="S10" s="13">
        <v>17814.330000000002</v>
      </c>
      <c r="T10" s="13"/>
      <c r="U10" s="178">
        <v>7176</v>
      </c>
      <c r="V10" s="178">
        <v>6595</v>
      </c>
      <c r="W10" s="175">
        <v>0.27057735806394045</v>
      </c>
      <c r="X10" s="178">
        <v>934</v>
      </c>
      <c r="Y10" s="175">
        <v>0.53747323340471087</v>
      </c>
      <c r="Z10" s="180">
        <v>18054</v>
      </c>
      <c r="AA10" s="13"/>
      <c r="AB10" s="13"/>
      <c r="AC10" s="13"/>
      <c r="AD10" s="13">
        <v>1748489.97</v>
      </c>
      <c r="AE10" s="11"/>
      <c r="AF10" s="77">
        <v>2817068</v>
      </c>
      <c r="AH10" s="28" t="s">
        <v>48</v>
      </c>
      <c r="AI10" s="26">
        <f>VLOOKUP($AI$2,'Diretrizes - Resumo'!$A$4:$AF$30,5,)</f>
        <v>343751.59</v>
      </c>
      <c r="AP10" s="16"/>
    </row>
    <row r="11" spans="1:42" ht="16" thickBot="1" x14ac:dyDescent="0.4">
      <c r="A11" s="131" t="s">
        <v>49</v>
      </c>
      <c r="B11" s="13">
        <v>1757634.45</v>
      </c>
      <c r="C11" s="13">
        <v>99349.03</v>
      </c>
      <c r="D11" s="18">
        <f>B11+C11</f>
        <v>1856983.48</v>
      </c>
      <c r="E11" s="13">
        <v>103552.57</v>
      </c>
      <c r="F11" s="13">
        <v>14011.84</v>
      </c>
      <c r="G11" s="18">
        <f t="shared" si="4"/>
        <v>117564.41</v>
      </c>
      <c r="H11" s="13">
        <v>1737817.49</v>
      </c>
      <c r="I11" s="13">
        <v>171674.2</v>
      </c>
      <c r="J11" s="18">
        <f>I11+H11+G11+D11</f>
        <v>3884039.58</v>
      </c>
      <c r="K11" s="40">
        <v>0</v>
      </c>
      <c r="L11" s="13">
        <v>72248.27</v>
      </c>
      <c r="M11" s="13"/>
      <c r="N11" s="13"/>
      <c r="P11" s="13">
        <v>287590.02</v>
      </c>
      <c r="Q11" s="13">
        <v>37336.67</v>
      </c>
      <c r="S11" s="13">
        <v>14316.99</v>
      </c>
      <c r="T11" s="13"/>
      <c r="U11" s="178">
        <v>4558</v>
      </c>
      <c r="V11" s="178">
        <v>4439</v>
      </c>
      <c r="W11" s="175">
        <v>0.1004313870117139</v>
      </c>
      <c r="X11" s="178">
        <v>521</v>
      </c>
      <c r="Y11" s="175">
        <v>0.25911708253358923</v>
      </c>
      <c r="Z11" s="180">
        <v>18134</v>
      </c>
      <c r="AA11" s="13"/>
      <c r="AB11" s="13"/>
      <c r="AC11" s="13"/>
      <c r="AD11" s="13">
        <v>568690.15</v>
      </c>
      <c r="AE11" s="11"/>
      <c r="AF11" s="77">
        <v>3833486</v>
      </c>
      <c r="AH11" s="28" t="s">
        <v>50</v>
      </c>
      <c r="AI11" s="26">
        <f>VLOOKUP($AI$2,'Diretrizes - Resumo'!$A$4:$AF$30,6,)</f>
        <v>101656.41</v>
      </c>
      <c r="AP11" s="16"/>
    </row>
    <row r="12" spans="1:42" ht="16" thickBot="1" x14ac:dyDescent="0.4">
      <c r="A12" s="131" t="s">
        <v>51</v>
      </c>
      <c r="B12" s="13">
        <v>1560962.97</v>
      </c>
      <c r="C12" s="13">
        <v>445852.92</v>
      </c>
      <c r="D12" s="18">
        <f t="shared" si="3"/>
        <v>2006815.89</v>
      </c>
      <c r="E12" s="13">
        <v>85557.759999999995</v>
      </c>
      <c r="F12" s="13">
        <v>70472.509999999995</v>
      </c>
      <c r="G12" s="18">
        <f t="shared" si="4"/>
        <v>156030.26999999999</v>
      </c>
      <c r="H12" s="13">
        <v>3025032.91</v>
      </c>
      <c r="I12" s="13">
        <v>181179.87</v>
      </c>
      <c r="J12" s="18">
        <f t="shared" si="2"/>
        <v>5369058.9400000004</v>
      </c>
      <c r="K12" s="40">
        <v>0</v>
      </c>
      <c r="L12" s="13">
        <v>99829.16</v>
      </c>
      <c r="M12" s="13"/>
      <c r="N12" s="13"/>
      <c r="P12" s="13">
        <v>415372.70999999996</v>
      </c>
      <c r="Q12" s="13">
        <v>54245.299999999996</v>
      </c>
      <c r="S12" s="13">
        <v>24208.639999999999</v>
      </c>
      <c r="T12" s="13"/>
      <c r="U12" s="178">
        <v>5911</v>
      </c>
      <c r="V12" s="178">
        <v>5630</v>
      </c>
      <c r="W12" s="175">
        <v>0.34194806626907137</v>
      </c>
      <c r="X12" s="178">
        <v>866</v>
      </c>
      <c r="Y12" s="175">
        <v>0.63394919168591224</v>
      </c>
      <c r="Z12" s="180">
        <v>31566</v>
      </c>
      <c r="AA12" s="13"/>
      <c r="AB12" s="13"/>
      <c r="AC12" s="13"/>
      <c r="AD12" s="13">
        <v>4409011.09</v>
      </c>
      <c r="AE12" s="11"/>
      <c r="AF12" s="77">
        <v>7055228</v>
      </c>
      <c r="AH12" s="24" t="s">
        <v>52</v>
      </c>
      <c r="AI12" s="26">
        <f>VLOOKUP($AI$2,'Diretrizes - Resumo'!$A$4:$AF$30,8,)</f>
        <v>6123281.4699999997</v>
      </c>
      <c r="AP12" s="16"/>
    </row>
    <row r="13" spans="1:42" ht="16" thickBot="1" x14ac:dyDescent="0.4">
      <c r="A13" s="131" t="s">
        <v>53</v>
      </c>
      <c r="B13" s="13">
        <v>610054.04</v>
      </c>
      <c r="C13" s="13">
        <v>200329.78</v>
      </c>
      <c r="D13" s="18">
        <f t="shared" si="3"/>
        <v>810383.82000000007</v>
      </c>
      <c r="E13" s="13">
        <v>30365.88</v>
      </c>
      <c r="F13" s="13">
        <v>52136.43</v>
      </c>
      <c r="G13" s="18">
        <f t="shared" si="4"/>
        <v>82502.31</v>
      </c>
      <c r="H13" s="13">
        <v>754293.67</v>
      </c>
      <c r="I13" s="13">
        <v>71434.89</v>
      </c>
      <c r="J13" s="18">
        <f t="shared" si="2"/>
        <v>1718614.6900000002</v>
      </c>
      <c r="K13" s="40">
        <v>0</v>
      </c>
      <c r="L13" s="13">
        <v>31952.45</v>
      </c>
      <c r="M13" s="13">
        <v>19938.080000000002</v>
      </c>
      <c r="N13" s="13">
        <v>172557.53999999998</v>
      </c>
      <c r="P13" s="13">
        <v>135286.72999999998</v>
      </c>
      <c r="Q13" s="13">
        <v>17332.73</v>
      </c>
      <c r="S13" s="13">
        <v>4830.3</v>
      </c>
      <c r="T13" s="13"/>
      <c r="U13" s="178">
        <v>2577</v>
      </c>
      <c r="V13" s="178">
        <v>2535</v>
      </c>
      <c r="W13" s="175">
        <v>0.43844302180583333</v>
      </c>
      <c r="X13" s="178">
        <v>376</v>
      </c>
      <c r="Y13" s="175">
        <v>0.69946808510638303</v>
      </c>
      <c r="Z13" s="180">
        <v>7871</v>
      </c>
      <c r="AA13" s="13"/>
      <c r="AB13" s="13"/>
      <c r="AC13" s="13"/>
      <c r="AD13" s="13">
        <v>209765.15000000002</v>
      </c>
      <c r="AE13" s="11"/>
      <c r="AF13" s="77">
        <v>6775152</v>
      </c>
      <c r="AH13" s="24" t="s">
        <v>54</v>
      </c>
      <c r="AI13" s="26">
        <f>VLOOKUP($AI$2,'Diretrizes - Resumo'!$A$4:$AF$30,9,)</f>
        <v>681155.16</v>
      </c>
      <c r="AP13" s="16"/>
    </row>
    <row r="14" spans="1:42" ht="16" thickBot="1" x14ac:dyDescent="0.4">
      <c r="A14" s="131" t="s">
        <v>14</v>
      </c>
      <c r="B14" s="13">
        <v>5661587.5</v>
      </c>
      <c r="C14" s="13">
        <v>899167.18</v>
      </c>
      <c r="D14" s="18">
        <f t="shared" si="3"/>
        <v>6560754.6799999997</v>
      </c>
      <c r="E14" s="13">
        <v>343751.59</v>
      </c>
      <c r="F14" s="13">
        <v>101656.41</v>
      </c>
      <c r="G14" s="18">
        <f t="shared" si="4"/>
        <v>445408</v>
      </c>
      <c r="H14" s="13">
        <v>6123281.4699999997</v>
      </c>
      <c r="I14" s="13">
        <v>681155.16</v>
      </c>
      <c r="J14" s="18">
        <f t="shared" si="2"/>
        <v>13810599.309999999</v>
      </c>
      <c r="K14" s="40">
        <v>0</v>
      </c>
      <c r="L14" s="13">
        <v>256850.45</v>
      </c>
      <c r="M14" s="13"/>
      <c r="N14" s="13"/>
      <c r="P14" s="13">
        <v>1071282.72</v>
      </c>
      <c r="Q14" s="13">
        <v>139896.03</v>
      </c>
      <c r="S14" s="13">
        <v>57084</v>
      </c>
      <c r="T14" s="13"/>
      <c r="U14" s="178">
        <v>19513</v>
      </c>
      <c r="V14" s="178">
        <v>18636</v>
      </c>
      <c r="W14" s="175">
        <v>0.28882733834207402</v>
      </c>
      <c r="X14" s="178">
        <v>2346</v>
      </c>
      <c r="Y14" s="175">
        <v>0.45353793691389599</v>
      </c>
      <c r="Z14" s="180">
        <v>63896</v>
      </c>
      <c r="AA14" s="13"/>
      <c r="AB14" s="13"/>
      <c r="AC14" s="13"/>
      <c r="AD14" s="13">
        <v>16972819.699999999</v>
      </c>
      <c r="AE14" s="11"/>
      <c r="AF14" s="77">
        <v>20538718</v>
      </c>
      <c r="AH14" s="24" t="s">
        <v>55</v>
      </c>
      <c r="AI14" s="25"/>
      <c r="AP14" s="16"/>
    </row>
    <row r="15" spans="1:42" ht="16" thickBot="1" x14ac:dyDescent="0.4">
      <c r="A15" s="131" t="s">
        <v>56</v>
      </c>
      <c r="B15" s="13">
        <v>946864.34</v>
      </c>
      <c r="C15" s="13">
        <v>360969.36</v>
      </c>
      <c r="D15" s="18">
        <f t="shared" si="3"/>
        <v>1307833.7</v>
      </c>
      <c r="E15" s="13">
        <v>76674.960000000006</v>
      </c>
      <c r="F15" s="13">
        <v>75171.22</v>
      </c>
      <c r="G15" s="18">
        <f t="shared" si="4"/>
        <v>151846.18</v>
      </c>
      <c r="H15" s="13">
        <v>2041604.93</v>
      </c>
      <c r="I15" s="13">
        <v>221046.48</v>
      </c>
      <c r="J15" s="18">
        <f t="shared" si="2"/>
        <v>3722331.29</v>
      </c>
      <c r="K15" s="40">
        <v>0</v>
      </c>
      <c r="L15" s="13">
        <v>69212.240000000005</v>
      </c>
      <c r="M15" s="13"/>
      <c r="N15" s="13"/>
      <c r="P15" s="13">
        <v>283776.18000000005</v>
      </c>
      <c r="Q15" s="13">
        <v>36778.699999999997</v>
      </c>
      <c r="S15" s="13">
        <v>16968.599999999999</v>
      </c>
      <c r="T15" s="13"/>
      <c r="U15" s="178">
        <v>3964</v>
      </c>
      <c r="V15" s="178">
        <v>3839</v>
      </c>
      <c r="W15" s="175">
        <v>0.41163534320702339</v>
      </c>
      <c r="X15" s="178">
        <v>778</v>
      </c>
      <c r="Y15" s="175">
        <v>0.63367609254498714</v>
      </c>
      <c r="Z15" s="180">
        <v>21304</v>
      </c>
      <c r="AA15" s="13"/>
      <c r="AB15" s="13"/>
      <c r="AC15" s="13"/>
      <c r="AD15" s="13">
        <v>1846216.87</v>
      </c>
      <c r="AE15" s="11"/>
      <c r="AF15" s="77">
        <v>2756700</v>
      </c>
      <c r="AH15" s="24" t="s">
        <v>57</v>
      </c>
      <c r="AI15" s="23">
        <f>VLOOKUP($AI$2,'Diretrizes - Resumo'!$A$4:$AF$30,19,)</f>
        <v>57084</v>
      </c>
      <c r="AP15" s="16"/>
    </row>
    <row r="16" spans="1:42" ht="16" thickBot="1" x14ac:dyDescent="0.4">
      <c r="A16" s="131" t="s">
        <v>58</v>
      </c>
      <c r="B16" s="13">
        <v>1163515.67</v>
      </c>
      <c r="C16" s="13">
        <v>240164.97</v>
      </c>
      <c r="D16" s="18">
        <f t="shared" si="3"/>
        <v>1403680.64</v>
      </c>
      <c r="E16" s="13">
        <v>107655.76</v>
      </c>
      <c r="F16" s="13">
        <v>53270.61</v>
      </c>
      <c r="G16" s="18">
        <f t="shared" si="4"/>
        <v>160926.37</v>
      </c>
      <c r="H16" s="13">
        <v>3245542.34</v>
      </c>
      <c r="I16" s="13">
        <v>133969.56</v>
      </c>
      <c r="J16" s="18">
        <f t="shared" si="2"/>
        <v>4944118.91</v>
      </c>
      <c r="K16" s="40">
        <v>0</v>
      </c>
      <c r="L16" s="13">
        <v>91965.92</v>
      </c>
      <c r="M16" s="13"/>
      <c r="N16" s="13"/>
      <c r="P16" s="13">
        <v>377421.4</v>
      </c>
      <c r="Q16" s="13">
        <v>49228.03</v>
      </c>
      <c r="S16" s="13">
        <v>22244.86</v>
      </c>
      <c r="T16" s="13"/>
      <c r="U16" s="178">
        <v>3962</v>
      </c>
      <c r="V16" s="178">
        <v>3867</v>
      </c>
      <c r="W16" s="175">
        <v>0.31064267194701883</v>
      </c>
      <c r="X16" s="178">
        <v>846</v>
      </c>
      <c r="Y16" s="175">
        <v>0.5271867612293144</v>
      </c>
      <c r="Z16" s="180">
        <v>33867</v>
      </c>
      <c r="AA16" s="13"/>
      <c r="AB16" s="13"/>
      <c r="AC16" s="13"/>
      <c r="AD16" s="13">
        <v>2007665.18</v>
      </c>
      <c r="AE16" s="11"/>
      <c r="AF16" s="77">
        <v>3658813</v>
      </c>
      <c r="AH16" s="24" t="s">
        <v>59</v>
      </c>
      <c r="AI16" s="23">
        <f>VLOOKUP($AI$2,'Diretrizes - Resumo'!$A$4:$AF$30,14,)</f>
        <v>0</v>
      </c>
      <c r="AP16" s="16"/>
    </row>
    <row r="17" spans="1:42" ht="16" thickBot="1" x14ac:dyDescent="0.4">
      <c r="A17" s="131" t="s">
        <v>60</v>
      </c>
      <c r="B17" s="13">
        <v>761665.88</v>
      </c>
      <c r="C17" s="13">
        <v>376088.88</v>
      </c>
      <c r="D17" s="18">
        <f t="shared" si="3"/>
        <v>1137754.76</v>
      </c>
      <c r="E17" s="13">
        <v>52430.34</v>
      </c>
      <c r="F17" s="13">
        <v>47482.94</v>
      </c>
      <c r="G17" s="18">
        <f t="shared" si="4"/>
        <v>99913.279999999999</v>
      </c>
      <c r="H17" s="13">
        <v>1125259.3400000001</v>
      </c>
      <c r="I17" s="13">
        <v>117018.26</v>
      </c>
      <c r="J17" s="18">
        <f t="shared" si="2"/>
        <v>2479945.64</v>
      </c>
      <c r="K17" s="40">
        <v>0</v>
      </c>
      <c r="L17" s="13">
        <v>46120.52</v>
      </c>
      <c r="M17" s="13"/>
      <c r="N17" s="13"/>
      <c r="P17" s="13">
        <v>195248.63</v>
      </c>
      <c r="Q17" s="13">
        <v>25036.13</v>
      </c>
      <c r="S17" s="13">
        <v>9412.7000000000007</v>
      </c>
      <c r="T17" s="13"/>
      <c r="U17" s="178">
        <v>3627</v>
      </c>
      <c r="V17" s="178">
        <v>3435</v>
      </c>
      <c r="W17" s="175">
        <v>0.44412323373175056</v>
      </c>
      <c r="X17" s="178">
        <v>570</v>
      </c>
      <c r="Y17" s="175">
        <v>0.65614035087719291</v>
      </c>
      <c r="Z17" s="180">
        <v>11742</v>
      </c>
      <c r="AA17" s="13"/>
      <c r="AB17" s="13"/>
      <c r="AC17" s="13"/>
      <c r="AD17" s="13">
        <v>2111231.5100000002</v>
      </c>
      <c r="AE17" s="11"/>
      <c r="AF17" s="77">
        <v>8116132</v>
      </c>
      <c r="AH17" s="7"/>
      <c r="AI17" s="20"/>
      <c r="AP17" s="16"/>
    </row>
    <row r="18" spans="1:42" ht="16" thickBot="1" x14ac:dyDescent="0.4">
      <c r="A18" s="131" t="s">
        <v>61</v>
      </c>
      <c r="B18" s="13">
        <v>983653.5</v>
      </c>
      <c r="C18" s="13">
        <v>234329.25</v>
      </c>
      <c r="D18" s="18">
        <f t="shared" si="3"/>
        <v>1217982.75</v>
      </c>
      <c r="E18" s="13">
        <v>36453.589999999997</v>
      </c>
      <c r="F18" s="13">
        <v>45067.28</v>
      </c>
      <c r="G18" s="18">
        <f t="shared" si="4"/>
        <v>81520.87</v>
      </c>
      <c r="H18" s="13">
        <v>1192725.07</v>
      </c>
      <c r="I18" s="13">
        <v>164301.82999999999</v>
      </c>
      <c r="J18" s="18">
        <f t="shared" si="2"/>
        <v>2656530.52</v>
      </c>
      <c r="K18" s="40">
        <v>0</v>
      </c>
      <c r="L18" s="13">
        <v>49390.17</v>
      </c>
      <c r="M18" s="13"/>
      <c r="N18" s="13"/>
      <c r="P18" s="13">
        <v>205288.1</v>
      </c>
      <c r="Q18" s="13">
        <v>26903.86</v>
      </c>
      <c r="S18" s="13">
        <v>10271.459999999999</v>
      </c>
      <c r="T18" s="13"/>
      <c r="U18" s="178">
        <v>3668</v>
      </c>
      <c r="V18" s="178">
        <v>3574</v>
      </c>
      <c r="W18" s="175">
        <v>0.33317116942326447</v>
      </c>
      <c r="X18" s="178">
        <v>528</v>
      </c>
      <c r="Y18" s="175">
        <v>0.74053030303030309</v>
      </c>
      <c r="Z18" s="180">
        <v>12446</v>
      </c>
      <c r="AA18" s="13"/>
      <c r="AB18" s="13"/>
      <c r="AC18" s="13"/>
      <c r="AD18" s="13">
        <v>2516148.48</v>
      </c>
      <c r="AE18" s="11"/>
      <c r="AF18" s="77">
        <v>3974495</v>
      </c>
      <c r="AH18" s="299" t="s">
        <v>62</v>
      </c>
      <c r="AI18" s="299"/>
      <c r="AP18" s="16"/>
    </row>
    <row r="19" spans="1:42" ht="16" thickBot="1" x14ac:dyDescent="0.4">
      <c r="A19" s="131" t="s">
        <v>63</v>
      </c>
      <c r="B19" s="13">
        <v>1685031.26</v>
      </c>
      <c r="C19" s="13">
        <v>314777.33</v>
      </c>
      <c r="D19" s="18">
        <f t="shared" si="3"/>
        <v>1999808.59</v>
      </c>
      <c r="E19" s="13">
        <v>93887.14</v>
      </c>
      <c r="F19" s="13">
        <v>37276.239999999998</v>
      </c>
      <c r="G19" s="18">
        <f t="shared" si="4"/>
        <v>131163.38</v>
      </c>
      <c r="H19" s="13">
        <v>2018605.25</v>
      </c>
      <c r="I19" s="13">
        <v>234594.13</v>
      </c>
      <c r="J19" s="18">
        <f t="shared" si="2"/>
        <v>4384171.3499999996</v>
      </c>
      <c r="K19" s="40">
        <v>0</v>
      </c>
      <c r="L19" s="13">
        <v>80573.19</v>
      </c>
      <c r="M19" s="13"/>
      <c r="N19" s="13"/>
      <c r="P19" s="13">
        <v>342336.21</v>
      </c>
      <c r="Q19" s="13">
        <v>44775.19</v>
      </c>
      <c r="S19" s="13">
        <v>16356.44</v>
      </c>
      <c r="T19" s="13"/>
      <c r="U19" s="178">
        <v>6285</v>
      </c>
      <c r="V19" s="178">
        <v>5759</v>
      </c>
      <c r="W19" s="175">
        <v>0.30040905112338773</v>
      </c>
      <c r="X19" s="178">
        <v>677</v>
      </c>
      <c r="Y19" s="175">
        <v>0.48005908419497784</v>
      </c>
      <c r="Z19" s="180">
        <v>21064</v>
      </c>
      <c r="AA19" s="13"/>
      <c r="AB19" s="13"/>
      <c r="AC19" s="13"/>
      <c r="AD19" s="13">
        <v>1782606.69</v>
      </c>
      <c r="AE19" s="11"/>
      <c r="AF19" s="77">
        <v>9058155</v>
      </c>
      <c r="AH19" s="47" t="s">
        <v>64</v>
      </c>
      <c r="AI19" s="181">
        <f>VLOOKUP($AI$2,'Diretrizes - Resumo'!$A$4:$AF$30,21,)</f>
        <v>19513</v>
      </c>
      <c r="AP19" s="16"/>
    </row>
    <row r="20" spans="1:42" ht="16" thickBot="1" x14ac:dyDescent="0.4">
      <c r="A20" s="131" t="s">
        <v>65</v>
      </c>
      <c r="B20" s="13">
        <v>496015.14</v>
      </c>
      <c r="C20" s="13">
        <v>100624.74</v>
      </c>
      <c r="D20" s="18">
        <f t="shared" si="3"/>
        <v>596639.88</v>
      </c>
      <c r="E20" s="13">
        <v>46678.03</v>
      </c>
      <c r="F20" s="13">
        <v>40613.96</v>
      </c>
      <c r="G20" s="18">
        <f t="shared" si="4"/>
        <v>87291.989999999991</v>
      </c>
      <c r="H20" s="13">
        <v>589175.14</v>
      </c>
      <c r="I20" s="13">
        <v>46935.95</v>
      </c>
      <c r="J20" s="18">
        <f t="shared" si="2"/>
        <v>1320042.96</v>
      </c>
      <c r="K20" s="40">
        <v>0</v>
      </c>
      <c r="L20" s="13">
        <v>23970.74</v>
      </c>
      <c r="M20" s="13">
        <v>15896.68</v>
      </c>
      <c r="N20" s="13">
        <v>339426.79816000001</v>
      </c>
      <c r="P20" s="13">
        <v>100626.75</v>
      </c>
      <c r="Q20" s="13">
        <v>12847.06</v>
      </c>
      <c r="S20" s="13">
        <v>3932.12</v>
      </c>
      <c r="T20" s="13"/>
      <c r="U20" s="178">
        <v>1819</v>
      </c>
      <c r="V20" s="178">
        <v>1770</v>
      </c>
      <c r="W20" s="175">
        <v>0.32402017996737581</v>
      </c>
      <c r="X20" s="178">
        <v>378</v>
      </c>
      <c r="Y20" s="175">
        <v>0.544973544973545</v>
      </c>
      <c r="Z20" s="180">
        <v>6148</v>
      </c>
      <c r="AA20" s="13"/>
      <c r="AB20" s="13"/>
      <c r="AC20" s="13"/>
      <c r="AD20" s="13">
        <v>54950.860000000015</v>
      </c>
      <c r="AE20" s="11"/>
      <c r="AF20" s="77">
        <v>3269200</v>
      </c>
      <c r="AH20" s="47" t="s">
        <v>66</v>
      </c>
      <c r="AI20" s="181">
        <f>VLOOKUP($AI$2,'Diretrizes - Resumo'!$A$4:$AF$30,22,)</f>
        <v>18636</v>
      </c>
      <c r="AP20" s="16"/>
    </row>
    <row r="21" spans="1:42" ht="16" thickBot="1" x14ac:dyDescent="0.4">
      <c r="A21" s="131" t="s">
        <v>67</v>
      </c>
      <c r="B21" s="13">
        <v>4350419.7</v>
      </c>
      <c r="C21" s="13">
        <v>711293.33</v>
      </c>
      <c r="D21" s="18">
        <f t="shared" si="3"/>
        <v>5061713.03</v>
      </c>
      <c r="E21" s="13">
        <v>432948.57</v>
      </c>
      <c r="F21" s="13">
        <v>249096.34</v>
      </c>
      <c r="G21" s="18">
        <f t="shared" si="4"/>
        <v>682044.91</v>
      </c>
      <c r="H21" s="13">
        <v>7154912.9500000002</v>
      </c>
      <c r="I21" s="13">
        <v>530619.96</v>
      </c>
      <c r="J21" s="18">
        <f t="shared" si="2"/>
        <v>13429290.850000001</v>
      </c>
      <c r="K21" s="40">
        <v>0</v>
      </c>
      <c r="L21" s="13">
        <v>250374.96</v>
      </c>
      <c r="M21" s="13"/>
      <c r="N21" s="13"/>
      <c r="P21" s="13">
        <v>1044991.1799999999</v>
      </c>
      <c r="Q21" s="13">
        <v>137025.72</v>
      </c>
      <c r="S21" s="13">
        <v>66847.289999999994</v>
      </c>
      <c r="T21" s="13"/>
      <c r="U21" s="178">
        <v>16111</v>
      </c>
      <c r="V21" s="178">
        <v>15523</v>
      </c>
      <c r="W21" s="175">
        <v>0.33458878843786199</v>
      </c>
      <c r="X21" s="178">
        <v>3154</v>
      </c>
      <c r="Y21" s="175">
        <v>0.48826886493341787</v>
      </c>
      <c r="Z21" s="180">
        <v>74661</v>
      </c>
      <c r="AA21" s="13"/>
      <c r="AB21" s="13"/>
      <c r="AC21" s="13"/>
      <c r="AD21" s="13">
        <v>17082768.949999999</v>
      </c>
      <c r="AE21" s="11"/>
      <c r="AF21" s="77">
        <v>11443208</v>
      </c>
      <c r="AH21" s="46" t="s">
        <v>68</v>
      </c>
      <c r="AI21" s="182">
        <f>VLOOKUP($AI$2,'Diretrizes - Resumo'!$A$4:$AF$30,23,)</f>
        <v>0.28882733834207402</v>
      </c>
      <c r="AP21" s="16"/>
    </row>
    <row r="22" spans="1:42" ht="16" thickBot="1" x14ac:dyDescent="0.4">
      <c r="A22" s="131" t="s">
        <v>69</v>
      </c>
      <c r="B22" s="13">
        <v>5082798.55</v>
      </c>
      <c r="C22" s="13">
        <v>1367024.96</v>
      </c>
      <c r="D22" s="18">
        <f t="shared" si="3"/>
        <v>6449823.5099999998</v>
      </c>
      <c r="E22" s="13">
        <v>441741.93</v>
      </c>
      <c r="F22" s="13">
        <v>262558.08000000002</v>
      </c>
      <c r="G22" s="18">
        <f t="shared" si="4"/>
        <v>704300.01</v>
      </c>
      <c r="H22" s="13">
        <v>6638665.9699999997</v>
      </c>
      <c r="I22" s="13">
        <v>592611.56999999995</v>
      </c>
      <c r="J22" s="18">
        <f t="shared" si="2"/>
        <v>14385401.059999999</v>
      </c>
      <c r="K22" s="40">
        <v>0</v>
      </c>
      <c r="L22" s="13">
        <v>267554.26</v>
      </c>
      <c r="M22" s="13"/>
      <c r="N22" s="13"/>
      <c r="P22" s="13">
        <v>1162383.19</v>
      </c>
      <c r="Q22" s="13">
        <v>155869.18000000002</v>
      </c>
      <c r="S22" s="13">
        <v>46436.5</v>
      </c>
      <c r="T22" s="13"/>
      <c r="U22" s="178">
        <v>22693</v>
      </c>
      <c r="V22" s="178">
        <v>18484</v>
      </c>
      <c r="W22" s="175">
        <v>0.30817761969679386</v>
      </c>
      <c r="X22" s="178">
        <v>3208</v>
      </c>
      <c r="Y22" s="175">
        <v>0.486284289276808</v>
      </c>
      <c r="Z22" s="180">
        <v>69274</v>
      </c>
      <c r="AA22" s="13"/>
      <c r="AB22" s="13"/>
      <c r="AC22" s="13"/>
      <c r="AD22" s="13">
        <v>9115215.3300000001</v>
      </c>
      <c r="AE22" s="11"/>
      <c r="AF22" s="77">
        <v>16054524</v>
      </c>
      <c r="AH22" s="22" t="s">
        <v>70</v>
      </c>
      <c r="AI22" s="181">
        <f>VLOOKUP($AI$2,'Diretrizes - Resumo'!$A$4:$AF$30,24,)</f>
        <v>2346</v>
      </c>
      <c r="AP22" s="16"/>
    </row>
    <row r="23" spans="1:42" ht="16" thickBot="1" x14ac:dyDescent="0.4">
      <c r="A23" s="131" t="s">
        <v>71</v>
      </c>
      <c r="B23" s="13">
        <v>779302.01</v>
      </c>
      <c r="C23" s="13">
        <v>282331.06</v>
      </c>
      <c r="D23" s="18">
        <f t="shared" si="3"/>
        <v>1061633.07</v>
      </c>
      <c r="E23" s="13">
        <v>31170.86</v>
      </c>
      <c r="F23" s="13">
        <v>22522.18</v>
      </c>
      <c r="G23" s="18">
        <f t="shared" si="4"/>
        <v>53693.04</v>
      </c>
      <c r="H23" s="13">
        <v>1066897.6599999999</v>
      </c>
      <c r="I23" s="13">
        <v>119182.98</v>
      </c>
      <c r="J23" s="18">
        <f t="shared" si="2"/>
        <v>2301406.75</v>
      </c>
      <c r="K23" s="40">
        <v>0</v>
      </c>
      <c r="L23" s="13">
        <v>42735.12</v>
      </c>
      <c r="M23" s="13"/>
      <c r="N23" s="13"/>
      <c r="P23" s="13">
        <v>178045.84</v>
      </c>
      <c r="Q23" s="13">
        <v>23431.97</v>
      </c>
      <c r="S23" s="13">
        <v>8916.36</v>
      </c>
      <c r="T23" s="13"/>
      <c r="U23" s="178">
        <v>3114</v>
      </c>
      <c r="V23" s="178">
        <v>2998</v>
      </c>
      <c r="W23" s="175">
        <v>0.38129299127037064</v>
      </c>
      <c r="X23" s="178">
        <v>365</v>
      </c>
      <c r="Y23" s="175">
        <v>0.68219178082191778</v>
      </c>
      <c r="Z23" s="180">
        <v>11133</v>
      </c>
      <c r="AA23" s="13"/>
      <c r="AB23" s="13"/>
      <c r="AC23" s="13"/>
      <c r="AD23" s="13">
        <v>1271164.96</v>
      </c>
      <c r="AE23" s="11"/>
      <c r="AF23" s="77">
        <v>3302406</v>
      </c>
      <c r="AH23" s="22" t="s">
        <v>72</v>
      </c>
      <c r="AI23" s="182">
        <f>VLOOKUP($AI$2,'Diretrizes - Resumo'!$A$4:$AF$30,25,)</f>
        <v>0.45353793691389599</v>
      </c>
      <c r="AP23" s="16"/>
    </row>
    <row r="24" spans="1:42" ht="16" thickBot="1" x14ac:dyDescent="0.4">
      <c r="A24" s="131" t="s">
        <v>73</v>
      </c>
      <c r="B24" s="13">
        <v>451878.01</v>
      </c>
      <c r="C24" s="13">
        <v>80860.789999999994</v>
      </c>
      <c r="D24" s="18">
        <f t="shared" si="3"/>
        <v>532738.80000000005</v>
      </c>
      <c r="E24" s="13">
        <v>36095.82</v>
      </c>
      <c r="F24" s="13">
        <v>32045.8</v>
      </c>
      <c r="G24" s="18">
        <f t="shared" si="4"/>
        <v>68141.62</v>
      </c>
      <c r="H24" s="13">
        <v>837380.02</v>
      </c>
      <c r="I24" s="13">
        <v>61989.62</v>
      </c>
      <c r="J24" s="18">
        <f t="shared" si="2"/>
        <v>1500250.06</v>
      </c>
      <c r="K24" s="40">
        <v>0</v>
      </c>
      <c r="L24" s="13">
        <v>27901.53</v>
      </c>
      <c r="M24" s="13">
        <v>22526.799999999999</v>
      </c>
      <c r="N24" s="13">
        <v>182690.48816000018</v>
      </c>
      <c r="P24" s="13">
        <v>116521.01999999999</v>
      </c>
      <c r="Q24" s="13">
        <v>15065.060000000001</v>
      </c>
      <c r="S24" s="13">
        <v>6968.89</v>
      </c>
      <c r="T24" s="13"/>
      <c r="U24" s="178">
        <v>1700</v>
      </c>
      <c r="V24" s="178">
        <v>1673</v>
      </c>
      <c r="W24" s="175">
        <v>0.34870198687423609</v>
      </c>
      <c r="X24" s="178">
        <v>290</v>
      </c>
      <c r="Y24" s="175">
        <v>0.54137931034482767</v>
      </c>
      <c r="Z24" s="180">
        <v>8738</v>
      </c>
      <c r="AA24" s="13"/>
      <c r="AB24" s="13"/>
      <c r="AC24" s="13"/>
      <c r="AD24" s="13">
        <v>1687241.8900000001</v>
      </c>
      <c r="AE24" s="11"/>
      <c r="AF24" s="77">
        <v>1581016</v>
      </c>
      <c r="AH24" s="46" t="s">
        <v>74</v>
      </c>
      <c r="AI24" s="181">
        <f>VLOOKUP($AI$2,'Diretrizes - Resumo'!$A$4:$AF$30,26,)</f>
        <v>63896</v>
      </c>
      <c r="AP24" s="16"/>
    </row>
    <row r="25" spans="1:42" ht="16" thickBot="1" x14ac:dyDescent="0.4">
      <c r="A25" s="131" t="s">
        <v>75</v>
      </c>
      <c r="B25" s="13">
        <v>68580.100000000006</v>
      </c>
      <c r="C25" s="13">
        <v>22128.78</v>
      </c>
      <c r="D25" s="18">
        <f t="shared" si="3"/>
        <v>90708.88</v>
      </c>
      <c r="E25" s="13">
        <v>5841.74</v>
      </c>
      <c r="F25" s="13">
        <v>7041.5</v>
      </c>
      <c r="G25" s="18">
        <f t="shared" si="4"/>
        <v>12883.24</v>
      </c>
      <c r="H25" s="13">
        <v>169047.65</v>
      </c>
      <c r="I25" s="13">
        <v>7310.99</v>
      </c>
      <c r="J25" s="18">
        <f t="shared" si="2"/>
        <v>279950.76</v>
      </c>
      <c r="K25" s="40">
        <v>0</v>
      </c>
      <c r="L25" s="13">
        <v>5205.0200000000004</v>
      </c>
      <c r="M25" s="13">
        <v>25182.12</v>
      </c>
      <c r="N25" s="13">
        <v>1253743.9547999999</v>
      </c>
      <c r="P25" s="13">
        <v>21811.86</v>
      </c>
      <c r="Q25" s="13">
        <v>2786.81</v>
      </c>
      <c r="S25" s="13">
        <v>878.64</v>
      </c>
      <c r="T25" s="13"/>
      <c r="U25" s="178">
        <v>290</v>
      </c>
      <c r="V25" s="178">
        <v>276</v>
      </c>
      <c r="W25" s="175">
        <v>0.40562997053929872</v>
      </c>
      <c r="X25" s="178">
        <v>78</v>
      </c>
      <c r="Y25" s="175">
        <v>0.71794871794871795</v>
      </c>
      <c r="Z25" s="180">
        <v>1764</v>
      </c>
      <c r="AA25" s="13"/>
      <c r="AB25" s="13"/>
      <c r="AC25" s="13"/>
      <c r="AD25" s="13">
        <v>109681.65</v>
      </c>
      <c r="AE25" s="11"/>
      <c r="AF25" s="77">
        <v>636303</v>
      </c>
      <c r="AP25" s="16"/>
    </row>
    <row r="26" spans="1:42" ht="16" thickBot="1" x14ac:dyDescent="0.4">
      <c r="A26" s="131" t="s">
        <v>76</v>
      </c>
      <c r="B26" s="13">
        <v>5928421.5199999996</v>
      </c>
      <c r="C26" s="13">
        <v>981566.23</v>
      </c>
      <c r="D26" s="18">
        <f t="shared" si="3"/>
        <v>6909987.75</v>
      </c>
      <c r="E26" s="13">
        <v>570489.46</v>
      </c>
      <c r="F26" s="13">
        <v>333105.11</v>
      </c>
      <c r="G26" s="18">
        <f t="shared" si="4"/>
        <v>903594.57</v>
      </c>
      <c r="H26" s="13">
        <v>9602558.0600000005</v>
      </c>
      <c r="I26" s="13">
        <v>739420.1</v>
      </c>
      <c r="J26" s="18">
        <f t="shared" si="2"/>
        <v>18155560.48</v>
      </c>
      <c r="K26" s="40">
        <v>0</v>
      </c>
      <c r="L26" s="13">
        <v>337639.05</v>
      </c>
      <c r="M26" s="13"/>
      <c r="N26" s="13"/>
      <c r="P26" s="13">
        <v>1377575.74</v>
      </c>
      <c r="Q26" s="13">
        <v>180121.68</v>
      </c>
      <c r="S26" s="13">
        <v>79259.320000000007</v>
      </c>
      <c r="T26" s="13"/>
      <c r="U26" s="178">
        <v>19788</v>
      </c>
      <c r="V26" s="178">
        <v>18234</v>
      </c>
      <c r="W26" s="175">
        <v>0.22784844673069632</v>
      </c>
      <c r="X26" s="178">
        <v>3842</v>
      </c>
      <c r="Y26" s="175">
        <v>0.44612181155648101</v>
      </c>
      <c r="Z26" s="180">
        <v>100202</v>
      </c>
      <c r="AA26" s="13"/>
      <c r="AB26" s="13"/>
      <c r="AC26" s="13"/>
      <c r="AD26" s="13">
        <v>19333585.09</v>
      </c>
      <c r="AE26" s="11"/>
      <c r="AF26" s="77">
        <v>10880506</v>
      </c>
      <c r="AH26" s="299" t="s">
        <v>77</v>
      </c>
      <c r="AI26" s="299"/>
      <c r="AP26" s="16"/>
    </row>
    <row r="27" spans="1:42" ht="16" thickBot="1" x14ac:dyDescent="0.4">
      <c r="A27" s="131" t="s">
        <v>78</v>
      </c>
      <c r="B27" s="13">
        <v>4116835.69</v>
      </c>
      <c r="C27" s="13">
        <v>629883.53</v>
      </c>
      <c r="D27" s="18">
        <f t="shared" si="3"/>
        <v>4746719.22</v>
      </c>
      <c r="E27" s="13">
        <v>365290.58</v>
      </c>
      <c r="F27" s="13">
        <v>126884.29</v>
      </c>
      <c r="G27" s="18">
        <f t="shared" si="4"/>
        <v>492174.87</v>
      </c>
      <c r="H27" s="13">
        <v>6136793.7800000003</v>
      </c>
      <c r="I27" s="13">
        <v>634444.93999999994</v>
      </c>
      <c r="J27" s="18">
        <f t="shared" si="2"/>
        <v>12010132.810000001</v>
      </c>
      <c r="K27" s="40">
        <v>0</v>
      </c>
      <c r="L27" s="13">
        <v>223350.59</v>
      </c>
      <c r="M27" s="13"/>
      <c r="N27" s="13"/>
      <c r="P27" s="13">
        <v>904885.87</v>
      </c>
      <c r="Q27" s="13">
        <v>117069.36999999998</v>
      </c>
      <c r="S27" s="13">
        <v>49197.66</v>
      </c>
      <c r="T27" s="13"/>
      <c r="U27" s="178">
        <v>13212</v>
      </c>
      <c r="V27" s="178">
        <v>12784</v>
      </c>
      <c r="W27" s="175">
        <v>0.25281910684984404</v>
      </c>
      <c r="X27" s="178">
        <v>2403</v>
      </c>
      <c r="Y27" s="175">
        <v>0.43237619642114017</v>
      </c>
      <c r="Z27" s="180">
        <v>64037</v>
      </c>
      <c r="AA27" s="13"/>
      <c r="AB27" s="13"/>
      <c r="AC27" s="13"/>
      <c r="AD27" s="13">
        <v>6303116.2000000002</v>
      </c>
      <c r="AE27" s="11"/>
      <c r="AF27" s="77">
        <v>7609601</v>
      </c>
      <c r="AH27" s="28" t="s">
        <v>79</v>
      </c>
      <c r="AI27" s="21">
        <f>VLOOKUP($AI$2,'Diretrizes - Resumo'!$A$4:$AF$30,32,)</f>
        <v>20538718</v>
      </c>
      <c r="AP27" s="16"/>
    </row>
    <row r="28" spans="1:42" s="19" customFormat="1" ht="16" hidden="1" thickBot="1" x14ac:dyDescent="0.4">
      <c r="A28" s="131" t="s">
        <v>80</v>
      </c>
      <c r="B28" s="13">
        <v>518026.26</v>
      </c>
      <c r="C28" s="13">
        <v>94311.26</v>
      </c>
      <c r="D28" s="18">
        <f t="shared" si="3"/>
        <v>612337.52</v>
      </c>
      <c r="E28" s="13">
        <v>28185.71</v>
      </c>
      <c r="F28" s="13">
        <v>17902.48</v>
      </c>
      <c r="G28" s="18">
        <f t="shared" si="4"/>
        <v>46088.19</v>
      </c>
      <c r="H28" s="13">
        <v>863925.48</v>
      </c>
      <c r="I28" s="13">
        <v>73480.36</v>
      </c>
      <c r="J28" s="18">
        <f t="shared" si="2"/>
        <v>1595831.55</v>
      </c>
      <c r="K28" s="40">
        <v>0</v>
      </c>
      <c r="L28" s="13">
        <v>29678.54</v>
      </c>
      <c r="M28" s="13">
        <v>17004.36</v>
      </c>
      <c r="N28" s="13">
        <v>157366.68</v>
      </c>
      <c r="O28" s="11"/>
      <c r="P28" s="13">
        <v>124264.91</v>
      </c>
      <c r="Q28" s="13">
        <v>16097.41</v>
      </c>
      <c r="R28" s="10"/>
      <c r="S28" s="13">
        <v>5260.2</v>
      </c>
      <c r="T28" s="13"/>
      <c r="U28" s="178">
        <v>1896</v>
      </c>
      <c r="V28" s="178">
        <v>1852</v>
      </c>
      <c r="W28" s="175">
        <v>0.33369906872931582</v>
      </c>
      <c r="X28" s="178">
        <v>213</v>
      </c>
      <c r="Y28" s="175">
        <v>0.49765258215962438</v>
      </c>
      <c r="Z28" s="180">
        <v>9015</v>
      </c>
      <c r="AA28" s="13"/>
      <c r="AB28" s="13"/>
      <c r="AC28" s="13"/>
      <c r="AD28" s="13">
        <v>728228.2699999999</v>
      </c>
      <c r="AE28" s="11"/>
      <c r="AF28" s="77">
        <v>2209558</v>
      </c>
      <c r="AK28" s="3"/>
      <c r="AP28" s="16"/>
    </row>
    <row r="29" spans="1:42" ht="16" hidden="1" thickBot="1" x14ac:dyDescent="0.4">
      <c r="A29" s="131" t="s">
        <v>81</v>
      </c>
      <c r="B29" s="13">
        <v>19849318.800000001</v>
      </c>
      <c r="C29" s="13">
        <v>4990128.62</v>
      </c>
      <c r="D29" s="18">
        <f t="shared" si="3"/>
        <v>24839447.420000002</v>
      </c>
      <c r="E29" s="13">
        <v>1555999.77</v>
      </c>
      <c r="F29" s="13">
        <v>735252.59</v>
      </c>
      <c r="G29" s="18">
        <f t="shared" si="4"/>
        <v>2291252.36</v>
      </c>
      <c r="H29" s="13">
        <v>32553076.25</v>
      </c>
      <c r="I29" s="13">
        <v>3098579.16</v>
      </c>
      <c r="J29" s="18">
        <f t="shared" si="2"/>
        <v>62782355.189999998</v>
      </c>
      <c r="K29" s="40">
        <v>0</v>
      </c>
      <c r="L29" s="13">
        <v>1145892.08</v>
      </c>
      <c r="M29" s="13"/>
      <c r="N29" s="13"/>
      <c r="P29" s="13">
        <v>4788916.2</v>
      </c>
      <c r="Q29" s="13">
        <v>662189.32000000007</v>
      </c>
      <c r="S29" s="13">
        <v>232126.44</v>
      </c>
      <c r="T29" s="13"/>
      <c r="U29" s="178">
        <v>74625</v>
      </c>
      <c r="V29" s="178">
        <v>69155</v>
      </c>
      <c r="W29" s="175">
        <v>0.3290763239620329</v>
      </c>
      <c r="X29" s="178">
        <v>8958</v>
      </c>
      <c r="Y29" s="175">
        <v>0.35175262335342711</v>
      </c>
      <c r="Z29" s="180">
        <v>339689</v>
      </c>
      <c r="AA29" s="13"/>
      <c r="AB29" s="13"/>
      <c r="AC29" s="13"/>
      <c r="AD29" s="13">
        <v>66232389.320000008</v>
      </c>
      <c r="AE29" s="11"/>
      <c r="AF29" s="77">
        <v>44420459</v>
      </c>
      <c r="AP29" s="16"/>
    </row>
    <row r="30" spans="1:42" ht="16" hidden="1" thickBot="1" x14ac:dyDescent="0.4">
      <c r="A30" s="131" t="s">
        <v>82</v>
      </c>
      <c r="B30" s="13">
        <v>279608.81</v>
      </c>
      <c r="C30" s="13">
        <v>70435.94</v>
      </c>
      <c r="D30" s="18">
        <f t="shared" si="3"/>
        <v>350044.75</v>
      </c>
      <c r="E30" s="13">
        <v>25329.119999999999</v>
      </c>
      <c r="F30" s="13">
        <v>22126.35</v>
      </c>
      <c r="G30" s="18">
        <f t="shared" si="4"/>
        <v>47455.47</v>
      </c>
      <c r="H30" s="13">
        <v>485964.07</v>
      </c>
      <c r="I30" s="13">
        <v>36835.03</v>
      </c>
      <c r="J30" s="18">
        <f t="shared" si="2"/>
        <v>920299.32</v>
      </c>
      <c r="K30" s="40">
        <v>0</v>
      </c>
      <c r="L30" s="13">
        <v>17110.72</v>
      </c>
      <c r="M30" s="13">
        <v>15054.36</v>
      </c>
      <c r="N30" s="13">
        <v>670481.59815999994</v>
      </c>
      <c r="P30" s="13">
        <v>71052.679999999993</v>
      </c>
      <c r="Q30" s="13">
        <v>9322.7899999999991</v>
      </c>
      <c r="S30" s="13">
        <v>3994.16</v>
      </c>
      <c r="T30" s="13"/>
      <c r="U30" s="178">
        <v>1085</v>
      </c>
      <c r="V30" s="178">
        <v>1060</v>
      </c>
      <c r="W30" s="175">
        <v>0.35868213794886938</v>
      </c>
      <c r="X30" s="178">
        <v>275</v>
      </c>
      <c r="Y30" s="175">
        <v>0.65818181818181809</v>
      </c>
      <c r="Z30" s="180">
        <v>5071</v>
      </c>
      <c r="AA30" s="13"/>
      <c r="AB30" s="13"/>
      <c r="AC30" s="13"/>
      <c r="AD30" s="13">
        <v>1161913.3600000001</v>
      </c>
      <c r="AE30" s="11"/>
      <c r="AF30" s="77">
        <v>1511459</v>
      </c>
      <c r="AP30" s="16"/>
    </row>
    <row r="31" spans="1:42" hidden="1" x14ac:dyDescent="0.35">
      <c r="P31" s="15"/>
      <c r="Q31" s="15"/>
    </row>
    <row r="32" spans="1:42" hidden="1" x14ac:dyDescent="0.35">
      <c r="A32" s="14" t="s">
        <v>83</v>
      </c>
      <c r="B32" s="17">
        <v>2</v>
      </c>
      <c r="C32" s="17">
        <f>B32+1</f>
        <v>3</v>
      </c>
      <c r="D32" s="17">
        <f t="shared" ref="D32:Q32" si="5">C32+1</f>
        <v>4</v>
      </c>
      <c r="E32" s="17">
        <f t="shared" si="5"/>
        <v>5</v>
      </c>
      <c r="F32" s="17">
        <f t="shared" si="5"/>
        <v>6</v>
      </c>
      <c r="G32" s="17">
        <f t="shared" si="5"/>
        <v>7</v>
      </c>
      <c r="H32" s="17">
        <f t="shared" si="5"/>
        <v>8</v>
      </c>
      <c r="I32" s="17">
        <f t="shared" si="5"/>
        <v>9</v>
      </c>
      <c r="J32" s="17">
        <f t="shared" si="5"/>
        <v>10</v>
      </c>
      <c r="K32" s="17">
        <f t="shared" si="5"/>
        <v>11</v>
      </c>
      <c r="L32" s="17">
        <f t="shared" si="5"/>
        <v>12</v>
      </c>
      <c r="M32" s="17">
        <f t="shared" si="5"/>
        <v>13</v>
      </c>
      <c r="N32" s="17">
        <f t="shared" si="5"/>
        <v>14</v>
      </c>
      <c r="O32" s="17">
        <f t="shared" si="5"/>
        <v>15</v>
      </c>
      <c r="P32" s="17">
        <f t="shared" si="5"/>
        <v>16</v>
      </c>
      <c r="Q32" s="17">
        <f t="shared" si="5"/>
        <v>17</v>
      </c>
      <c r="R32" s="17">
        <f t="shared" ref="R32" si="6">Q32+1</f>
        <v>18</v>
      </c>
      <c r="S32" s="17">
        <f t="shared" ref="S32" si="7">R32+1</f>
        <v>19</v>
      </c>
      <c r="T32" s="17">
        <f t="shared" ref="T32" si="8">S32+1</f>
        <v>20</v>
      </c>
      <c r="U32" s="17">
        <f t="shared" ref="U32" si="9">T32+1</f>
        <v>21</v>
      </c>
      <c r="V32" s="17">
        <f t="shared" ref="V32" si="10">U32+1</f>
        <v>22</v>
      </c>
      <c r="W32" s="17">
        <f t="shared" ref="W32" si="11">V32+1</f>
        <v>23</v>
      </c>
      <c r="X32" s="17">
        <f t="shared" ref="X32" si="12">W32+1</f>
        <v>24</v>
      </c>
      <c r="Y32" s="17">
        <f t="shared" ref="Y32" si="13">X32+1</f>
        <v>25</v>
      </c>
      <c r="Z32" s="17">
        <f t="shared" ref="Z32" si="14">Y32+1</f>
        <v>26</v>
      </c>
      <c r="AA32" s="17">
        <f t="shared" ref="AA32" si="15">Z32+1</f>
        <v>27</v>
      </c>
      <c r="AB32" s="17">
        <f t="shared" ref="AB32" si="16">AA32+1</f>
        <v>28</v>
      </c>
      <c r="AC32" s="17">
        <f t="shared" ref="AC32" si="17">AB32+1</f>
        <v>29</v>
      </c>
      <c r="AD32" s="17">
        <f>AC32+1</f>
        <v>30</v>
      </c>
      <c r="AE32" s="17">
        <f t="shared" ref="AE32" si="18">AD32+1</f>
        <v>31</v>
      </c>
      <c r="AF32" s="17">
        <f t="shared" ref="AF32" si="19">AE32+1</f>
        <v>32</v>
      </c>
    </row>
    <row r="33" spans="16:17" hidden="1" x14ac:dyDescent="0.35">
      <c r="P33" s="48"/>
      <c r="Q33" s="48"/>
    </row>
    <row r="34" spans="16:17" hidden="1" x14ac:dyDescent="0.35">
      <c r="P34" s="48"/>
      <c r="Q34" s="48"/>
    </row>
    <row r="35" spans="16:17" hidden="1" x14ac:dyDescent="0.35">
      <c r="P35" s="48"/>
      <c r="Q35" s="48"/>
    </row>
    <row r="36" spans="16:17" hidden="1" x14ac:dyDescent="0.35">
      <c r="P36" s="48"/>
      <c r="Q36" s="48"/>
    </row>
  </sheetData>
  <mergeCells count="19">
    <mergeCell ref="AH26:AI26"/>
    <mergeCell ref="H2:H3"/>
    <mergeCell ref="J2:J3"/>
    <mergeCell ref="L1:N2"/>
    <mergeCell ref="P1:Q2"/>
    <mergeCell ref="U1:Z1"/>
    <mergeCell ref="U2:W2"/>
    <mergeCell ref="X2:Y2"/>
    <mergeCell ref="S1:S2"/>
    <mergeCell ref="AB2:AB3"/>
    <mergeCell ref="AD2:AD3"/>
    <mergeCell ref="AK2:AL2"/>
    <mergeCell ref="AH18:AI18"/>
    <mergeCell ref="A1:A3"/>
    <mergeCell ref="B1:J1"/>
    <mergeCell ref="E2:G2"/>
    <mergeCell ref="B2:D2"/>
    <mergeCell ref="I2:I3"/>
    <mergeCell ref="AF2:A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'Validação de dados'!$G$1:$G$27</xm:f>
          </x14:formula1>
          <xm:sqref>AI2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O26"/>
  <sheetViews>
    <sheetView showGridLines="0" zoomScale="91" zoomScaleNormal="91" workbookViewId="0">
      <selection activeCell="B12" sqref="B12"/>
    </sheetView>
  </sheetViews>
  <sheetFormatPr defaultColWidth="0" defaultRowHeight="22.5" zeroHeight="1" x14ac:dyDescent="0.35"/>
  <cols>
    <col min="1" max="1" width="16.54296875" style="193" customWidth="1"/>
    <col min="2" max="2" width="70.453125" style="194" customWidth="1"/>
    <col min="3" max="3" width="8.453125" style="195" bestFit="1" customWidth="1"/>
    <col min="4" max="4" width="17.7265625" style="196" customWidth="1"/>
    <col min="5" max="5" width="8.1796875" style="195" bestFit="1" customWidth="1"/>
    <col min="6" max="6" width="17.7265625" style="196" customWidth="1"/>
    <col min="7" max="7" width="8.453125" style="195" bestFit="1" customWidth="1"/>
    <col min="8" max="8" width="17.7265625" style="196" customWidth="1"/>
    <col min="9" max="9" width="8.453125" style="195" bestFit="1" customWidth="1"/>
    <col min="10" max="10" width="17.7265625" style="196" customWidth="1"/>
    <col min="11" max="11" width="11.26953125" style="194" customWidth="1"/>
    <col min="12" max="12" width="8.54296875" style="192" customWidth="1"/>
    <col min="13" max="13" width="130.7265625" style="43" bestFit="1" customWidth="1"/>
    <col min="14" max="249" width="0" style="192" hidden="1" customWidth="1"/>
    <col min="250" max="16384" width="22.54296875" style="192" hidden="1"/>
  </cols>
  <sheetData>
    <row r="1" spans="1:13" x14ac:dyDescent="0.35">
      <c r="A1" s="322" t="s">
        <v>84</v>
      </c>
      <c r="B1" s="322" t="s">
        <v>85</v>
      </c>
      <c r="C1" s="316" t="s">
        <v>86</v>
      </c>
      <c r="D1" s="316"/>
      <c r="E1" s="316" t="s">
        <v>87</v>
      </c>
      <c r="F1" s="316"/>
      <c r="G1" s="316" t="s">
        <v>88</v>
      </c>
      <c r="H1" s="316"/>
      <c r="I1" s="316" t="s">
        <v>89</v>
      </c>
      <c r="J1" s="316"/>
      <c r="K1" s="317" t="s">
        <v>90</v>
      </c>
      <c r="L1" s="221"/>
      <c r="M1" s="227" t="s">
        <v>91</v>
      </c>
    </row>
    <row r="2" spans="1:13" ht="23" thickBot="1" x14ac:dyDescent="0.4">
      <c r="A2" s="323"/>
      <c r="B2" s="323"/>
      <c r="C2" s="222" t="s">
        <v>92</v>
      </c>
      <c r="D2" s="223" t="s">
        <v>93</v>
      </c>
      <c r="E2" s="222" t="s">
        <v>92</v>
      </c>
      <c r="F2" s="223" t="s">
        <v>93</v>
      </c>
      <c r="G2" s="222" t="s">
        <v>92</v>
      </c>
      <c r="H2" s="223" t="s">
        <v>93</v>
      </c>
      <c r="I2" s="222" t="s">
        <v>92</v>
      </c>
      <c r="J2" s="223" t="s">
        <v>93</v>
      </c>
      <c r="K2" s="318"/>
      <c r="L2" s="221"/>
      <c r="M2" s="228" t="s">
        <v>94</v>
      </c>
    </row>
    <row r="3" spans="1:13" ht="30.75" customHeight="1" x14ac:dyDescent="0.35">
      <c r="A3" s="319" t="s">
        <v>95</v>
      </c>
      <c r="B3" s="224" t="s">
        <v>96</v>
      </c>
      <c r="C3" s="208">
        <f>COUNTIFS('Quadro Geral'!$E:$E,'Matriz de Obj. Estrat.'!$B3,'Quadro Geral'!$B:$B,"P")</f>
        <v>0</v>
      </c>
      <c r="D3" s="171">
        <f>SUMIFS('Quadro Geral'!$I:$I,'Quadro Geral'!$E:$E,'Matriz de Obj. Estrat.'!$B3,'Quadro Geral'!$B:$B,"P")</f>
        <v>0</v>
      </c>
      <c r="E3" s="208">
        <f>COUNTIFS('Quadro Geral'!$E:$E,'Matriz de Obj. Estrat.'!$B3,'Quadro Geral'!$B:$B,"PE")</f>
        <v>0</v>
      </c>
      <c r="F3" s="171">
        <f>SUMIFS('Quadro Geral'!$I:$I,'Quadro Geral'!$E:$E,'Matriz de Obj. Estrat.'!$B3,'Quadro Geral'!$B:$B,"PE")</f>
        <v>0</v>
      </c>
      <c r="G3" s="208">
        <f>COUNTIFS('Quadro Geral'!$E:$E,'Matriz de Obj. Estrat.'!$B3,'Quadro Geral'!$B:$B,"A")</f>
        <v>0</v>
      </c>
      <c r="H3" s="171">
        <f>SUMIFS('Quadro Geral'!$I:$I,'Quadro Geral'!$E:$E,'Matriz de Obj. Estrat.'!$B3,'Quadro Geral'!$B:$B,"A")</f>
        <v>0</v>
      </c>
      <c r="I3" s="208">
        <f>C3+E3+G3</f>
        <v>0</v>
      </c>
      <c r="J3" s="171">
        <f>D3+F3+H3</f>
        <v>0</v>
      </c>
      <c r="K3" s="209">
        <f t="shared" ref="K3:K18" si="0">IFERROR(J3/$J$19*100,0)</f>
        <v>0</v>
      </c>
      <c r="L3" s="221"/>
      <c r="M3" s="229" t="s">
        <v>97</v>
      </c>
    </row>
    <row r="4" spans="1:13" ht="30.75" customHeight="1" x14ac:dyDescent="0.35">
      <c r="A4" s="319"/>
      <c r="B4" s="224" t="s">
        <v>98</v>
      </c>
      <c r="C4" s="208">
        <f>COUNTIFS('Quadro Geral'!$E:$E,'Matriz de Obj. Estrat.'!$B4,'Quadro Geral'!$B:$B,"P")</f>
        <v>0</v>
      </c>
      <c r="D4" s="171">
        <f>SUMIFS('Quadro Geral'!$I:$I,'Quadro Geral'!$E:$E,'Matriz de Obj. Estrat.'!$B4,'Quadro Geral'!$B:$B,"P")</f>
        <v>0</v>
      </c>
      <c r="E4" s="208">
        <f>COUNTIFS('Quadro Geral'!$E:$E,'Matriz de Obj. Estrat.'!$B4,'Quadro Geral'!$B:$B,"PE")</f>
        <v>0</v>
      </c>
      <c r="F4" s="171">
        <f>SUMIFS('Quadro Geral'!$I:$I,'Quadro Geral'!$E:$E,'Matriz de Obj. Estrat.'!$B4,'Quadro Geral'!$B:$B,"PE")</f>
        <v>0</v>
      </c>
      <c r="G4" s="208">
        <f>COUNTIFS('Quadro Geral'!$E:$E,'Matriz de Obj. Estrat.'!$B4,'Quadro Geral'!$B:$B,"A")</f>
        <v>1</v>
      </c>
      <c r="H4" s="171">
        <f>SUMIFS('Quadro Geral'!$I:$I,'Quadro Geral'!$E:$E,'Matriz de Obj. Estrat.'!$B4,'Quadro Geral'!$B:$B,"A")</f>
        <v>30000</v>
      </c>
      <c r="I4" s="208">
        <f t="shared" ref="I4:I18" si="1">C4+E4+G4</f>
        <v>1</v>
      </c>
      <c r="J4" s="171">
        <f t="shared" ref="J4:J18" si="2">D4+F4+H4</f>
        <v>30000</v>
      </c>
      <c r="K4" s="209">
        <f t="shared" si="0"/>
        <v>0.17495074674317629</v>
      </c>
      <c r="L4" s="221"/>
      <c r="M4" s="230" t="s">
        <v>99</v>
      </c>
    </row>
    <row r="5" spans="1:13" ht="30.75" customHeight="1" thickBot="1" x14ac:dyDescent="0.4">
      <c r="A5" s="320" t="s">
        <v>100</v>
      </c>
      <c r="B5" s="224" t="s">
        <v>101</v>
      </c>
      <c r="C5" s="208">
        <f>COUNTIFS('Quadro Geral'!$E:$E,'Matriz de Obj. Estrat.'!$B5,'Quadro Geral'!$B:$B,"P")</f>
        <v>1</v>
      </c>
      <c r="D5" s="171">
        <f>SUMIFS('Quadro Geral'!$I:$I,'Quadro Geral'!$E:$E,'Matriz de Obj. Estrat.'!$B5,'Quadro Geral'!$B:$B,"P")</f>
        <v>215000</v>
      </c>
      <c r="E5" s="208">
        <f>COUNTIFS('Quadro Geral'!$E:$E,'Matriz de Obj. Estrat.'!$B5,'Quadro Geral'!$B:$B,"PE")</f>
        <v>0</v>
      </c>
      <c r="F5" s="171">
        <f>SUMIFS('Quadro Geral'!$I:$I,'Quadro Geral'!$E:$E,'Matriz de Obj. Estrat.'!$B5,'Quadro Geral'!$B:$B,"PE")</f>
        <v>0</v>
      </c>
      <c r="G5" s="208">
        <f>COUNTIFS('Quadro Geral'!$E:$E,'Matriz de Obj. Estrat.'!$B5,'Quadro Geral'!$B:$B,"A")</f>
        <v>3</v>
      </c>
      <c r="H5" s="171">
        <f>SUMIFS('Quadro Geral'!$I:$I,'Quadro Geral'!$E:$E,'Matriz de Obj. Estrat.'!$B5,'Quadro Geral'!$B:$B,"A")</f>
        <v>3183030</v>
      </c>
      <c r="I5" s="208">
        <f t="shared" si="1"/>
        <v>4</v>
      </c>
      <c r="J5" s="171">
        <f t="shared" si="2"/>
        <v>3398030</v>
      </c>
      <c r="K5" s="209">
        <f t="shared" si="0"/>
        <v>19.816262865190513</v>
      </c>
      <c r="L5" s="221"/>
      <c r="M5" s="231" t="s">
        <v>102</v>
      </c>
    </row>
    <row r="6" spans="1:13" ht="30.75" customHeight="1" x14ac:dyDescent="0.35">
      <c r="A6" s="320"/>
      <c r="B6" s="241" t="s">
        <v>102</v>
      </c>
      <c r="C6" s="242">
        <f>COUNTIFS('Quadro Geral'!$E:$E,'Matriz de Obj. Estrat.'!$B6,'Quadro Geral'!$B:$B,"P")</f>
        <v>0</v>
      </c>
      <c r="D6" s="243">
        <f>SUMIFS('Quadro Geral'!$I:$I,'Quadro Geral'!$E:$E,'Matriz de Obj. Estrat.'!$B6,'Quadro Geral'!$B:$B,"P")</f>
        <v>0</v>
      </c>
      <c r="E6" s="242">
        <f>COUNTIFS('Quadro Geral'!$E:$E,'Matriz de Obj. Estrat.'!$B6,'Quadro Geral'!$B:$B,"PE")</f>
        <v>0</v>
      </c>
      <c r="F6" s="243">
        <f>SUMIFS('Quadro Geral'!$I:$I,'Quadro Geral'!$E:$E,'Matriz de Obj. Estrat.'!$B6,'Quadro Geral'!$B:$B,"PE")</f>
        <v>0</v>
      </c>
      <c r="G6" s="242">
        <f>COUNTIFS('Quadro Geral'!$E:$E,'Matriz de Obj. Estrat.'!$B6,'Quadro Geral'!$B:$B,"A")</f>
        <v>9</v>
      </c>
      <c r="H6" s="243">
        <f>SUMIFS('Quadro Geral'!$I:$I,'Quadro Geral'!$E:$E,'Matriz de Obj. Estrat.'!$B6,'Quadro Geral'!$B:$B,"A")</f>
        <v>3917427.6499999994</v>
      </c>
      <c r="I6" s="242">
        <f t="shared" si="1"/>
        <v>9</v>
      </c>
      <c r="J6" s="243">
        <f t="shared" si="2"/>
        <v>3917427.6499999994</v>
      </c>
      <c r="K6" s="244">
        <f t="shared" si="0"/>
        <v>22.84522975599554</v>
      </c>
      <c r="L6" s="221"/>
    </row>
    <row r="7" spans="1:13" ht="30.75" customHeight="1" x14ac:dyDescent="0.35">
      <c r="A7" s="320"/>
      <c r="B7" s="224" t="s">
        <v>97</v>
      </c>
      <c r="C7" s="249">
        <f>COUNTIFS('Quadro Geral'!$E:$E,'Matriz de Obj. Estrat.'!$B7,'Quadro Geral'!$B:$B,"P")</f>
        <v>0</v>
      </c>
      <c r="D7" s="250">
        <f>SUMIFS('Quadro Geral'!$I:$I,'Quadro Geral'!$E:$E,'Matriz de Obj. Estrat.'!$B7,'Quadro Geral'!$B:$B,"P")</f>
        <v>0</v>
      </c>
      <c r="E7" s="249">
        <f>COUNTIFS('Quadro Geral'!$E:$E,'Matriz de Obj. Estrat.'!$B7,'Quadro Geral'!$B:$B,"PE")</f>
        <v>3</v>
      </c>
      <c r="F7" s="250">
        <f>SUMIFS('Quadro Geral'!$I:$I,'Quadro Geral'!$E:$E,'Matriz de Obj. Estrat.'!$B7,'Quadro Geral'!$B:$B,"PE")</f>
        <v>200000</v>
      </c>
      <c r="G7" s="249">
        <f>COUNTIFS('Quadro Geral'!$E:$E,'Matriz de Obj. Estrat.'!$B7,'Quadro Geral'!$B:$B,"A")</f>
        <v>0</v>
      </c>
      <c r="H7" s="250">
        <f>SUMIFS('Quadro Geral'!$I:$I,'Quadro Geral'!$E:$E,'Matriz de Obj. Estrat.'!$B7,'Quadro Geral'!$B:$B,"A")</f>
        <v>0</v>
      </c>
      <c r="I7" s="249">
        <f t="shared" si="1"/>
        <v>3</v>
      </c>
      <c r="J7" s="250">
        <f t="shared" si="2"/>
        <v>200000</v>
      </c>
      <c r="K7" s="251">
        <f t="shared" si="0"/>
        <v>1.1663383116211754</v>
      </c>
      <c r="L7" s="221"/>
    </row>
    <row r="8" spans="1:13" ht="30.75" customHeight="1" x14ac:dyDescent="0.35">
      <c r="A8" s="320"/>
      <c r="B8" s="224" t="s">
        <v>103</v>
      </c>
      <c r="C8" s="208">
        <f>COUNTIFS('Quadro Geral'!$E:$E,'Matriz de Obj. Estrat.'!$B8,'Quadro Geral'!$B:$B,"P")</f>
        <v>0</v>
      </c>
      <c r="D8" s="171">
        <f>SUMIFS('Quadro Geral'!$I:$I,'Quadro Geral'!$E:$E,'Matriz de Obj. Estrat.'!$B8,'Quadro Geral'!$B:$B,"P")</f>
        <v>0</v>
      </c>
      <c r="E8" s="208">
        <f>COUNTIFS('Quadro Geral'!$E:$E,'Matriz de Obj. Estrat.'!$B8,'Quadro Geral'!$B:$B,"PE")</f>
        <v>0</v>
      </c>
      <c r="F8" s="171">
        <f>SUMIFS('Quadro Geral'!$I:$I,'Quadro Geral'!$E:$E,'Matriz de Obj. Estrat.'!$B8,'Quadro Geral'!$B:$B,"PE")</f>
        <v>0</v>
      </c>
      <c r="G8" s="208">
        <f>COUNTIFS('Quadro Geral'!$E:$E,'Matriz de Obj. Estrat.'!$B8,'Quadro Geral'!$B:$B,"A")</f>
        <v>1</v>
      </c>
      <c r="H8" s="171">
        <f>SUMIFS('Quadro Geral'!$I:$I,'Quadro Geral'!$E:$E,'Matriz de Obj. Estrat.'!$B8,'Quadro Geral'!$B:$B,"A")</f>
        <v>130377.72</v>
      </c>
      <c r="I8" s="208">
        <f t="shared" si="1"/>
        <v>1</v>
      </c>
      <c r="J8" s="171">
        <f t="shared" si="2"/>
        <v>130377.72</v>
      </c>
      <c r="K8" s="209">
        <f t="shared" si="0"/>
        <v>0.76032264908909164</v>
      </c>
      <c r="L8" s="221"/>
    </row>
    <row r="9" spans="1:13" ht="30.75" customHeight="1" x14ac:dyDescent="0.35">
      <c r="A9" s="320"/>
      <c r="B9" s="224" t="s">
        <v>104</v>
      </c>
      <c r="C9" s="208">
        <f>COUNTIFS('Quadro Geral'!$E:$E,'Matriz de Obj. Estrat.'!$B9,'Quadro Geral'!$B:$B,"P")</f>
        <v>0</v>
      </c>
      <c r="D9" s="171">
        <f>SUMIFS('Quadro Geral'!$I:$I,'Quadro Geral'!$E:$E,'Matriz de Obj. Estrat.'!$B9,'Quadro Geral'!$B:$B,"P")</f>
        <v>0</v>
      </c>
      <c r="E9" s="208">
        <f>COUNTIFS('Quadro Geral'!$E:$E,'Matriz de Obj. Estrat.'!$B9,'Quadro Geral'!$B:$B,"PE")</f>
        <v>1</v>
      </c>
      <c r="F9" s="171">
        <f>SUMIFS('Quadro Geral'!$I:$I,'Quadro Geral'!$E:$E,'Matriz de Obj. Estrat.'!$B9,'Quadro Geral'!$B:$B,"PE")</f>
        <v>50000</v>
      </c>
      <c r="G9" s="208">
        <f>COUNTIFS('Quadro Geral'!$E:$E,'Matriz de Obj. Estrat.'!$B9,'Quadro Geral'!$B:$B,"A")</f>
        <v>1</v>
      </c>
      <c r="H9" s="171">
        <f>SUMIFS('Quadro Geral'!$I:$I,'Quadro Geral'!$E:$E,'Matriz de Obj. Estrat.'!$B9,'Quadro Geral'!$B:$B,"A")</f>
        <v>30094.43</v>
      </c>
      <c r="I9" s="208">
        <f t="shared" si="1"/>
        <v>2</v>
      </c>
      <c r="J9" s="171">
        <f t="shared" si="2"/>
        <v>80094.429999999993</v>
      </c>
      <c r="K9" s="209">
        <f t="shared" si="0"/>
        <v>0.46708601128230198</v>
      </c>
      <c r="L9" s="221"/>
    </row>
    <row r="10" spans="1:13" s="292" customFormat="1" ht="30.75" customHeight="1" x14ac:dyDescent="0.35">
      <c r="A10" s="320"/>
      <c r="B10" s="241" t="s">
        <v>105</v>
      </c>
      <c r="C10" s="242">
        <f>COUNTIFS('Quadro Geral'!$E:$E,'Matriz de Obj. Estrat.'!$B10,'Quadro Geral'!$B:$B,"P")</f>
        <v>1</v>
      </c>
      <c r="D10" s="243">
        <f>SUMIFS('Quadro Geral'!$I:$I,'Quadro Geral'!$E:$E,'Matriz de Obj. Estrat.'!$B10,'Quadro Geral'!$B:$B,"P")</f>
        <v>30000</v>
      </c>
      <c r="E10" s="242">
        <f>COUNTIFS('Quadro Geral'!$E:$E,'Matriz de Obj. Estrat.'!$B10,'Quadro Geral'!$B:$B,"PE")</f>
        <v>1</v>
      </c>
      <c r="F10" s="243">
        <f>SUMIFS('Quadro Geral'!$I:$I,'Quadro Geral'!$E:$E,'Matriz de Obj. Estrat.'!$B10,'Quadro Geral'!$B:$B,"PE")</f>
        <v>250000</v>
      </c>
      <c r="G10" s="242">
        <f>COUNTIFS('Quadro Geral'!$E:$E,'Matriz de Obj. Estrat.'!$B10,'Quadro Geral'!$B:$B,"A")</f>
        <v>1</v>
      </c>
      <c r="H10" s="243">
        <f>SUMIFS('Quadro Geral'!$I:$I,'Quadro Geral'!$E:$E,'Matriz de Obj. Estrat.'!$B10,'Quadro Geral'!$B:$B,"A")</f>
        <v>30094.43</v>
      </c>
      <c r="I10" s="242">
        <f t="shared" si="1"/>
        <v>3</v>
      </c>
      <c r="J10" s="243">
        <f t="shared" si="2"/>
        <v>310094.43</v>
      </c>
      <c r="K10" s="244">
        <f t="shared" si="0"/>
        <v>1.8083750696466536</v>
      </c>
      <c r="L10" s="290"/>
      <c r="M10" s="291"/>
    </row>
    <row r="11" spans="1:13" ht="30.75" customHeight="1" x14ac:dyDescent="0.35">
      <c r="A11" s="320"/>
      <c r="B11" s="224" t="s">
        <v>106</v>
      </c>
      <c r="C11" s="208">
        <f>COUNTIFS('Quadro Geral'!$E:$E,'Matriz de Obj. Estrat.'!$B11,'Quadro Geral'!$B:$B,"P")</f>
        <v>2</v>
      </c>
      <c r="D11" s="171">
        <f>SUMIFS('Quadro Geral'!$I:$I,'Quadro Geral'!$E:$E,'Matriz de Obj. Estrat.'!$B11,'Quadro Geral'!$B:$B,"P")</f>
        <v>0</v>
      </c>
      <c r="E11" s="208">
        <f>COUNTIFS('Quadro Geral'!$E:$E,'Matriz de Obj. Estrat.'!$B11,'Quadro Geral'!$B:$B,"PE")</f>
        <v>1</v>
      </c>
      <c r="F11" s="171">
        <f>SUMIFS('Quadro Geral'!$I:$I,'Quadro Geral'!$E:$E,'Matriz de Obj. Estrat.'!$B11,'Quadro Geral'!$B:$B,"PE")</f>
        <v>130000</v>
      </c>
      <c r="G11" s="208">
        <f>COUNTIFS('Quadro Geral'!$E:$E,'Matriz de Obj. Estrat.'!$B11,'Quadro Geral'!$B:$B,"A")</f>
        <v>2</v>
      </c>
      <c r="H11" s="171">
        <f>SUMIFS('Quadro Geral'!$I:$I,'Quadro Geral'!$E:$E,'Matriz de Obj. Estrat.'!$B11,'Quadro Geral'!$B:$B,"A")</f>
        <v>1204579.6800000002</v>
      </c>
      <c r="I11" s="208">
        <f t="shared" si="1"/>
        <v>5</v>
      </c>
      <c r="J11" s="171">
        <f t="shared" si="2"/>
        <v>1334579.6800000002</v>
      </c>
      <c r="K11" s="209">
        <f t="shared" si="0"/>
        <v>7.7828570534756434</v>
      </c>
      <c r="L11" s="221"/>
    </row>
    <row r="12" spans="1:13" ht="30.75" customHeight="1" x14ac:dyDescent="0.35">
      <c r="A12" s="320"/>
      <c r="B12" s="224" t="s">
        <v>107</v>
      </c>
      <c r="C12" s="208">
        <f>COUNTIFS('Quadro Geral'!$E:$E,'Matriz de Obj. Estrat.'!$B12,'Quadro Geral'!$B:$B,"P")</f>
        <v>1</v>
      </c>
      <c r="D12" s="171">
        <f>SUMIFS('Quadro Geral'!$I:$I,'Quadro Geral'!$E:$E,'Matriz de Obj. Estrat.'!$B12,'Quadro Geral'!$B:$B,"P")</f>
        <v>0</v>
      </c>
      <c r="E12" s="208">
        <f>COUNTIFS('Quadro Geral'!$E:$E,'Matriz de Obj. Estrat.'!$B12,'Quadro Geral'!$B:$B,"PE")</f>
        <v>0</v>
      </c>
      <c r="F12" s="171">
        <f>SUMIFS('Quadro Geral'!$I:$I,'Quadro Geral'!$E:$E,'Matriz de Obj. Estrat.'!$B12,'Quadro Geral'!$B:$B,"PE")</f>
        <v>0</v>
      </c>
      <c r="G12" s="208">
        <f>COUNTIFS('Quadro Geral'!$E:$E,'Matriz de Obj. Estrat.'!$B12,'Quadro Geral'!$B:$B,"A")</f>
        <v>1</v>
      </c>
      <c r="H12" s="171">
        <f>SUMIFS('Quadro Geral'!$I:$I,'Quadro Geral'!$E:$E,'Matriz de Obj. Estrat.'!$B12,'Quadro Geral'!$B:$B,"A")</f>
        <v>210661.01</v>
      </c>
      <c r="I12" s="208">
        <f t="shared" si="1"/>
        <v>2</v>
      </c>
      <c r="J12" s="171">
        <f t="shared" si="2"/>
        <v>210661.01</v>
      </c>
      <c r="K12" s="209">
        <f t="shared" si="0"/>
        <v>1.2285100336390578</v>
      </c>
      <c r="L12" s="221"/>
    </row>
    <row r="13" spans="1:13" ht="30.75" customHeight="1" x14ac:dyDescent="0.35">
      <c r="A13" s="320"/>
      <c r="B13" s="224" t="s">
        <v>108</v>
      </c>
      <c r="C13" s="249">
        <f>COUNTIFS('Quadro Geral'!$E:$E,'Matriz de Obj. Estrat.'!$B13,'Quadro Geral'!$B:$B,"P")</f>
        <v>1</v>
      </c>
      <c r="D13" s="250">
        <f>SUMIFS('Quadro Geral'!$I:$I,'Quadro Geral'!$E:$E,'Matriz de Obj. Estrat.'!$B13,'Quadro Geral'!$B:$B,"P")</f>
        <v>500000</v>
      </c>
      <c r="E13" s="249">
        <f>COUNTIFS('Quadro Geral'!$E:$E,'Matriz de Obj. Estrat.'!$B13,'Quadro Geral'!$B:$B,"PE")</f>
        <v>0</v>
      </c>
      <c r="F13" s="250">
        <f>SUMIFS('Quadro Geral'!$I:$I,'Quadro Geral'!$E:$E,'Matriz de Obj. Estrat.'!$B13,'Quadro Geral'!$B:$B,"PE")</f>
        <v>0</v>
      </c>
      <c r="G13" s="249">
        <f>COUNTIFS('Quadro Geral'!$E:$E,'Matriz de Obj. Estrat.'!$B13,'Quadro Geral'!$B:$B,"A")</f>
        <v>1</v>
      </c>
      <c r="H13" s="250">
        <f>SUMIFS('Quadro Geral'!$I:$I,'Quadro Geral'!$E:$E,'Matriz de Obj. Estrat.'!$B13,'Quadro Geral'!$B:$B,"A")</f>
        <v>30094.43</v>
      </c>
      <c r="I13" s="249">
        <f t="shared" si="1"/>
        <v>2</v>
      </c>
      <c r="J13" s="250">
        <f t="shared" si="2"/>
        <v>530094.43000000005</v>
      </c>
      <c r="K13" s="251">
        <f t="shared" si="0"/>
        <v>3.0913472124299468</v>
      </c>
      <c r="L13" s="221"/>
    </row>
    <row r="14" spans="1:13" ht="30.75" customHeight="1" x14ac:dyDescent="0.35">
      <c r="A14" s="320"/>
      <c r="B14" s="224" t="s">
        <v>109</v>
      </c>
      <c r="C14" s="208">
        <f>COUNTIFS('Quadro Geral'!$E:$E,'Matriz de Obj. Estrat.'!$B14,'Quadro Geral'!$B:$B,"P")</f>
        <v>0</v>
      </c>
      <c r="D14" s="171">
        <f>SUMIFS('Quadro Geral'!$I:$I,'Quadro Geral'!$E:$E,'Matriz de Obj. Estrat.'!$B14,'Quadro Geral'!$B:$B,"P")</f>
        <v>0</v>
      </c>
      <c r="E14" s="208">
        <f>COUNTIFS('Quadro Geral'!$E:$E,'Matriz de Obj. Estrat.'!$B14,'Quadro Geral'!$B:$B,"PE")</f>
        <v>0</v>
      </c>
      <c r="F14" s="171">
        <f>SUMIFS('Quadro Geral'!$I:$I,'Quadro Geral'!$E:$E,'Matriz de Obj. Estrat.'!$B14,'Quadro Geral'!$B:$B,"PE")</f>
        <v>0</v>
      </c>
      <c r="G14" s="208">
        <f>COUNTIFS('Quadro Geral'!$E:$E,'Matriz de Obj. Estrat.'!$B14,'Quadro Geral'!$B:$B,"A")</f>
        <v>4</v>
      </c>
      <c r="H14" s="171">
        <f>SUMIFS('Quadro Geral'!$I:$I,'Quadro Geral'!$E:$E,'Matriz de Obj. Estrat.'!$B14,'Quadro Geral'!$B:$B,"A")</f>
        <v>3242981.95</v>
      </c>
      <c r="I14" s="208">
        <f t="shared" si="1"/>
        <v>4</v>
      </c>
      <c r="J14" s="171">
        <f t="shared" si="2"/>
        <v>3242981.95</v>
      </c>
      <c r="K14" s="209">
        <f t="shared" si="0"/>
        <v>18.912070460904733</v>
      </c>
      <c r="L14" s="221"/>
    </row>
    <row r="15" spans="1:13" ht="30.75" customHeight="1" x14ac:dyDescent="0.35">
      <c r="A15" s="320"/>
      <c r="B15" s="241" t="s">
        <v>99</v>
      </c>
      <c r="C15" s="242">
        <f>COUNTIFS('Quadro Geral'!$E:$E,'Matriz de Obj. Estrat.'!$B15,'Quadro Geral'!$B:$B,"P")</f>
        <v>0</v>
      </c>
      <c r="D15" s="243">
        <f>SUMIFS('Quadro Geral'!$I:$I,'Quadro Geral'!$E:$E,'Matriz de Obj. Estrat.'!$B15,'Quadro Geral'!$B:$B,"P")</f>
        <v>0</v>
      </c>
      <c r="E15" s="242">
        <f>COUNTIFS('Quadro Geral'!$E:$E,'Matriz de Obj. Estrat.'!$B15,'Quadro Geral'!$B:$B,"PE")</f>
        <v>1</v>
      </c>
      <c r="F15" s="243">
        <f>SUMIFS('Quadro Geral'!$I:$I,'Quadro Geral'!$E:$E,'Matriz de Obj. Estrat.'!$B15,'Quadro Geral'!$B:$B,"PE")</f>
        <v>150000</v>
      </c>
      <c r="G15" s="242">
        <f>COUNTIFS('Quadro Geral'!$E:$E,'Matriz de Obj. Estrat.'!$B15,'Quadro Geral'!$B:$B,"A")</f>
        <v>5</v>
      </c>
      <c r="H15" s="243">
        <f>SUMIFS('Quadro Geral'!$I:$I,'Quadro Geral'!$E:$E,'Matriz de Obj. Estrat.'!$B15,'Quadro Geral'!$B:$B,"A")</f>
        <v>2153482.52</v>
      </c>
      <c r="I15" s="242">
        <f t="shared" si="1"/>
        <v>6</v>
      </c>
      <c r="J15" s="243">
        <f t="shared" si="2"/>
        <v>2303482.52</v>
      </c>
      <c r="K15" s="244">
        <f t="shared" si="0"/>
        <v>13.433199566128451</v>
      </c>
      <c r="L15" s="221"/>
    </row>
    <row r="16" spans="1:13" ht="30.75" customHeight="1" x14ac:dyDescent="0.35">
      <c r="A16" s="320" t="s">
        <v>110</v>
      </c>
      <c r="B16" s="224" t="s">
        <v>111</v>
      </c>
      <c r="C16" s="208">
        <f>COUNTIFS('Quadro Geral'!$E:$E,'Matriz de Obj. Estrat.'!$B16,'Quadro Geral'!$B:$B,"P")</f>
        <v>0</v>
      </c>
      <c r="D16" s="171">
        <f>SUMIFS('Quadro Geral'!$I:$I,'Quadro Geral'!$E:$E,'Matriz de Obj. Estrat.'!$B16,'Quadro Geral'!$B:$B,"P")</f>
        <v>0</v>
      </c>
      <c r="E16" s="208">
        <f>COUNTIFS('Quadro Geral'!$E:$E,'Matriz de Obj. Estrat.'!$B16,'Quadro Geral'!$B:$B,"PE")</f>
        <v>0</v>
      </c>
      <c r="F16" s="171">
        <f>SUMIFS('Quadro Geral'!$I:$I,'Quadro Geral'!$E:$E,'Matriz de Obj. Estrat.'!$B16,'Quadro Geral'!$B:$B,"PE")</f>
        <v>0</v>
      </c>
      <c r="G16" s="208">
        <f>COUNTIFS('Quadro Geral'!$E:$E,'Matriz de Obj. Estrat.'!$B16,'Quadro Geral'!$B:$B,"A")</f>
        <v>1</v>
      </c>
      <c r="H16" s="171">
        <f>SUMIFS('Quadro Geral'!$I:$I,'Quadro Geral'!$E:$E,'Matriz de Obj. Estrat.'!$B16,'Quadro Geral'!$B:$B,"A")</f>
        <v>159416.20000000001</v>
      </c>
      <c r="I16" s="208">
        <f t="shared" si="1"/>
        <v>1</v>
      </c>
      <c r="J16" s="171">
        <f t="shared" si="2"/>
        <v>159416.20000000001</v>
      </c>
      <c r="K16" s="209">
        <f t="shared" si="0"/>
        <v>0.92966610776531799</v>
      </c>
      <c r="L16" s="221"/>
    </row>
    <row r="17" spans="1:12" ht="30.75" customHeight="1" x14ac:dyDescent="0.35">
      <c r="A17" s="320"/>
      <c r="B17" s="224" t="s">
        <v>112</v>
      </c>
      <c r="C17" s="208">
        <f>COUNTIFS('Quadro Geral'!$E:$E,'Matriz de Obj. Estrat.'!$B17,'Quadro Geral'!$B:$B,"P")</f>
        <v>0</v>
      </c>
      <c r="D17" s="171">
        <f>SUMIFS('Quadro Geral'!$I:$I,'Quadro Geral'!$E:$E,'Matriz de Obj. Estrat.'!$B17,'Quadro Geral'!$B:$B,"P")</f>
        <v>0</v>
      </c>
      <c r="E17" s="208">
        <f>COUNTIFS('Quadro Geral'!$E:$E,'Matriz de Obj. Estrat.'!$B17,'Quadro Geral'!$B:$B,"PE")</f>
        <v>1</v>
      </c>
      <c r="F17" s="171">
        <f>SUMIFS('Quadro Geral'!$I:$I,'Quadro Geral'!$E:$E,'Matriz de Obj. Estrat.'!$B17,'Quadro Geral'!$B:$B,"PE")</f>
        <v>200000</v>
      </c>
      <c r="G17" s="208">
        <f>COUNTIFS('Quadro Geral'!$E:$E,'Matriz de Obj. Estrat.'!$B17,'Quadro Geral'!$B:$B,"A")</f>
        <v>2</v>
      </c>
      <c r="H17" s="171">
        <f>SUMIFS('Quadro Geral'!$I:$I,'Quadro Geral'!$E:$E,'Matriz de Obj. Estrat.'!$B17,'Quadro Geral'!$B:$B,"A")</f>
        <v>700443.29</v>
      </c>
      <c r="I17" s="208">
        <f t="shared" si="1"/>
        <v>3</v>
      </c>
      <c r="J17" s="171">
        <f t="shared" si="2"/>
        <v>900443.29</v>
      </c>
      <c r="K17" s="209">
        <f t="shared" si="0"/>
        <v>5.2511075328460821</v>
      </c>
      <c r="L17" s="221"/>
    </row>
    <row r="18" spans="1:12" ht="30.75" customHeight="1" x14ac:dyDescent="0.35">
      <c r="A18" s="320"/>
      <c r="B18" s="224" t="s">
        <v>113</v>
      </c>
      <c r="C18" s="208">
        <f>COUNTIFS('Quadro Geral'!$E:$E,'Matriz de Obj. Estrat.'!$B18,'Quadro Geral'!$B:$B,"P")</f>
        <v>0</v>
      </c>
      <c r="D18" s="171">
        <f>SUMIFS('Quadro Geral'!$I:$I,'Quadro Geral'!$E:$E,'Matriz de Obj. Estrat.'!$B18,'Quadro Geral'!$B:$B,"P")</f>
        <v>0</v>
      </c>
      <c r="E18" s="208">
        <f>COUNTIFS('Quadro Geral'!$E:$E,'Matriz de Obj. Estrat.'!$B18,'Quadro Geral'!$B:$B,"PE")</f>
        <v>1</v>
      </c>
      <c r="F18" s="171">
        <f>SUMIFS('Quadro Geral'!$I:$I,'Quadro Geral'!$E:$E,'Matriz de Obj. Estrat.'!$B18,'Quadro Geral'!$B:$B,"PE")</f>
        <v>400000</v>
      </c>
      <c r="G18" s="208">
        <f>COUNTIFS('Quadro Geral'!$E:$E,'Matriz de Obj. Estrat.'!$B18,'Quadro Geral'!$B:$B,"A")</f>
        <v>0</v>
      </c>
      <c r="H18" s="171">
        <f>SUMIFS('Quadro Geral'!$I:$I,'Quadro Geral'!$E:$E,'Matriz de Obj. Estrat.'!$B18,'Quadro Geral'!$B:$B,"A")</f>
        <v>0</v>
      </c>
      <c r="I18" s="208">
        <f t="shared" si="1"/>
        <v>1</v>
      </c>
      <c r="J18" s="171">
        <f t="shared" si="2"/>
        <v>400000</v>
      </c>
      <c r="K18" s="209">
        <f t="shared" si="0"/>
        <v>2.3326766232423508</v>
      </c>
      <c r="L18" s="221"/>
    </row>
    <row r="19" spans="1:12" ht="23.5" x14ac:dyDescent="0.35">
      <c r="A19" s="321" t="s">
        <v>114</v>
      </c>
      <c r="B19" s="321"/>
      <c r="C19" s="210">
        <f>SUM(C3:C18)</f>
        <v>6</v>
      </c>
      <c r="D19" s="211">
        <f t="shared" ref="D19:J19" si="3">SUM(D3:D18)</f>
        <v>745000</v>
      </c>
      <c r="E19" s="210">
        <f t="shared" si="3"/>
        <v>9</v>
      </c>
      <c r="F19" s="211">
        <f t="shared" si="3"/>
        <v>1380000</v>
      </c>
      <c r="G19" s="210">
        <f t="shared" si="3"/>
        <v>32</v>
      </c>
      <c r="H19" s="211">
        <f t="shared" si="3"/>
        <v>15022683.309999995</v>
      </c>
      <c r="I19" s="210">
        <f t="shared" si="3"/>
        <v>47</v>
      </c>
      <c r="J19" s="211">
        <f t="shared" si="3"/>
        <v>17147683.309999995</v>
      </c>
      <c r="K19" s="212">
        <f>SUM(K3:K18)</f>
        <v>100.00000000000003</v>
      </c>
      <c r="L19" s="225"/>
    </row>
    <row r="20" spans="1:12" x14ac:dyDescent="0.35">
      <c r="A20" s="226"/>
      <c r="B20" s="217"/>
      <c r="C20" s="213"/>
      <c r="D20" s="214"/>
      <c r="E20" s="215"/>
      <c r="F20" s="214"/>
      <c r="G20" s="215"/>
      <c r="H20" s="214"/>
      <c r="I20" s="215"/>
      <c r="J20" s="216">
        <f>'Quadro Geral'!I55</f>
        <v>17147683.309999995</v>
      </c>
      <c r="K20" s="217"/>
      <c r="L20" s="221"/>
    </row>
    <row r="21" spans="1:12" x14ac:dyDescent="0.35">
      <c r="A21" s="226"/>
      <c r="B21" s="217"/>
      <c r="C21" s="213"/>
      <c r="D21" s="218"/>
      <c r="E21" s="213"/>
      <c r="F21" s="218"/>
      <c r="G21" s="213"/>
      <c r="H21" s="218"/>
      <c r="I21" s="213"/>
      <c r="J21" s="219" t="b">
        <f>J20=J19</f>
        <v>1</v>
      </c>
      <c r="K21" s="220">
        <f>IFERROR(SUMIF($B$3:$B$18,$M$3,$J$3:$J$18),)+IFERROR(SUMIF($B$3:$B$18,$M$4,$J$3:$J$18),)+IFERROR(SUMIF($B$3:$B$18,$M$5,$J$3:$J$18),)</f>
        <v>6420910.1699999999</v>
      </c>
      <c r="L21" s="221"/>
    </row>
    <row r="25" spans="1:12" hidden="1" x14ac:dyDescent="0.35">
      <c r="A25" s="194"/>
    </row>
    <row r="26" spans="1:12" hidden="1" x14ac:dyDescent="0.35">
      <c r="A26" s="194"/>
    </row>
  </sheetData>
  <sheetProtection selectLockedCells="1"/>
  <mergeCells count="11">
    <mergeCell ref="A16:A18"/>
    <mergeCell ref="A19:B19"/>
    <mergeCell ref="E1:F1"/>
    <mergeCell ref="A1:A2"/>
    <mergeCell ref="B1:B2"/>
    <mergeCell ref="C1:D1"/>
    <mergeCell ref="G1:H1"/>
    <mergeCell ref="I1:J1"/>
    <mergeCell ref="K1:K2"/>
    <mergeCell ref="A3:A4"/>
    <mergeCell ref="A5:A15"/>
  </mergeCells>
  <conditionalFormatting sqref="C2:I2">
    <cfRule type="cellIs" dxfId="27" priority="11" operator="equal">
      <formula>"S"</formula>
    </cfRule>
    <cfRule type="cellIs" dxfId="26" priority="12" operator="equal">
      <formula>"P"</formula>
    </cfRule>
    <cfRule type="cellIs" dxfId="25" priority="13" operator="equal">
      <formula>"x"</formula>
    </cfRule>
  </conditionalFormatting>
  <conditionalFormatting sqref="J21">
    <cfRule type="cellIs" dxfId="24" priority="9" operator="equal">
      <formula>TRUE</formula>
    </cfRule>
    <cfRule type="cellIs" dxfId="23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'Validação de dados'!$D$1:$D$13</xm:f>
          </x14:formula1>
          <xm:sqref>M3:M5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U5"/>
  <sheetViews>
    <sheetView showGridLines="0" tabSelected="1" zoomScale="90" zoomScaleNormal="90" zoomScaleSheetLayoutView="90" workbookViewId="0">
      <selection activeCell="A2" sqref="A2:K5"/>
    </sheetView>
  </sheetViews>
  <sheetFormatPr defaultColWidth="0" defaultRowHeight="15.5" zeroHeight="1" x14ac:dyDescent="0.35"/>
  <cols>
    <col min="1" max="11" width="9.1796875" style="2" customWidth="1"/>
    <col min="12" max="12" width="21.7265625" customWidth="1"/>
    <col min="13" max="15" width="9.1796875" customWidth="1"/>
    <col min="16" max="16384" width="9.1796875" hidden="1"/>
  </cols>
  <sheetData>
    <row r="1" spans="1:21" s="191" customFormat="1" ht="96.75" customHeight="1" x14ac:dyDescent="0.35">
      <c r="A1" s="326" t="s">
        <v>115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90"/>
      <c r="M1" s="190"/>
      <c r="N1" s="190"/>
      <c r="O1" s="190"/>
      <c r="P1" s="190"/>
    </row>
    <row r="2" spans="1:21" ht="23.25" customHeight="1" x14ac:dyDescent="0.35">
      <c r="A2" s="324" t="s">
        <v>116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1" ht="379.5" customHeight="1" x14ac:dyDescent="0.35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41" t="s">
        <v>575</v>
      </c>
      <c r="M3" s="42"/>
      <c r="N3" s="42"/>
      <c r="O3" s="42"/>
      <c r="P3" s="42"/>
      <c r="Q3" s="42"/>
      <c r="R3" s="42"/>
      <c r="S3" s="42"/>
      <c r="T3" s="42"/>
      <c r="U3" s="42"/>
    </row>
    <row r="4" spans="1:21" x14ac:dyDescent="0.35">
      <c r="A4" s="324" t="s">
        <v>117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"/>
      <c r="M4" s="1"/>
      <c r="N4" s="1"/>
      <c r="O4" s="1"/>
      <c r="P4" s="1"/>
    </row>
    <row r="5" spans="1:21" ht="300" customHeight="1" x14ac:dyDescent="0.35"/>
  </sheetData>
  <mergeCells count="4">
    <mergeCell ref="A4:K4"/>
    <mergeCell ref="A1:K1"/>
    <mergeCell ref="A2:K2"/>
    <mergeCell ref="A3:K3"/>
  </mergeCells>
  <pageMargins left="0.25" right="0.25" top="0.75" bottom="0.75" header="0.3" footer="0.3"/>
  <pageSetup paperSize="9" scale="9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69850</xdr:rowOff>
              </from>
              <to>
                <xdr:col>10</xdr:col>
                <xdr:colOff>584200</xdr:colOff>
                <xdr:row>3</xdr:row>
                <xdr:rowOff>38100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126"/>
  <sheetViews>
    <sheetView showGridLines="0" topLeftCell="A53" zoomScale="90" zoomScaleNormal="90" zoomScaleSheetLayoutView="50" workbookViewId="0">
      <selection activeCell="B57" sqref="B57"/>
    </sheetView>
  </sheetViews>
  <sheetFormatPr defaultColWidth="0" defaultRowHeight="23.5" zeroHeight="1" x14ac:dyDescent="0.55000000000000004"/>
  <cols>
    <col min="1" max="1" width="60.7265625" style="69" customWidth="1"/>
    <col min="2" max="2" width="81" style="70" customWidth="1"/>
    <col min="3" max="3" width="11.54296875" style="71" customWidth="1"/>
    <col min="4" max="4" width="16.453125" style="70" customWidth="1"/>
    <col min="5" max="5" width="17" style="70" customWidth="1"/>
    <col min="6" max="6" width="17" style="72" customWidth="1"/>
    <col min="7" max="7" width="17" style="53" customWidth="1"/>
    <col min="8" max="8" width="63.81640625" style="51" hidden="1" customWidth="1"/>
    <col min="9" max="9" width="17" style="51" customWidth="1"/>
    <col min="10" max="16384" width="9.1796875" style="49" hidden="1"/>
  </cols>
  <sheetData>
    <row r="1" spans="1:19" s="50" customFormat="1" ht="48" customHeight="1" x14ac:dyDescent="0.55000000000000004">
      <c r="A1" s="334" t="s">
        <v>118</v>
      </c>
      <c r="B1" s="335"/>
      <c r="C1" s="335"/>
      <c r="D1" s="335"/>
      <c r="E1" s="335"/>
      <c r="F1" s="335"/>
      <c r="G1" s="255"/>
      <c r="H1" s="110"/>
      <c r="I1" s="110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50" customFormat="1" ht="45" customHeight="1" x14ac:dyDescent="0.55000000000000004">
      <c r="A2" s="336" t="s">
        <v>376</v>
      </c>
      <c r="B2" s="336"/>
      <c r="C2" s="336"/>
      <c r="D2" s="336"/>
      <c r="E2" s="336"/>
      <c r="F2" s="336"/>
      <c r="G2" s="52"/>
      <c r="H2" s="51"/>
      <c r="I2" s="51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50" customFormat="1" ht="45" customHeight="1" x14ac:dyDescent="0.55000000000000004">
      <c r="A3" s="336" t="s">
        <v>119</v>
      </c>
      <c r="B3" s="336"/>
      <c r="C3" s="336"/>
      <c r="D3" s="336"/>
      <c r="E3" s="336"/>
      <c r="F3" s="336"/>
      <c r="G3" s="52"/>
    </row>
    <row r="4" spans="1:19" s="50" customFormat="1" ht="21" customHeight="1" x14ac:dyDescent="0.55000000000000004">
      <c r="A4" s="52"/>
      <c r="B4" s="52"/>
      <c r="C4" s="52"/>
      <c r="D4" s="52"/>
      <c r="E4" s="52"/>
      <c r="F4" s="53"/>
      <c r="G4" s="53"/>
      <c r="H4" s="51"/>
      <c r="I4" s="51"/>
    </row>
    <row r="5" spans="1:19" s="50" customFormat="1" ht="45" customHeight="1" x14ac:dyDescent="0.55000000000000004">
      <c r="A5" s="356" t="s">
        <v>120</v>
      </c>
      <c r="B5" s="356"/>
      <c r="C5" s="356"/>
      <c r="D5" s="356"/>
      <c r="E5" s="356"/>
      <c r="F5" s="356"/>
      <c r="G5" s="256"/>
      <c r="H5" s="75"/>
      <c r="I5" s="75"/>
    </row>
    <row r="6" spans="1:19" s="50" customFormat="1" ht="45" customHeight="1" x14ac:dyDescent="0.55000000000000004">
      <c r="A6" s="115" t="s">
        <v>96</v>
      </c>
      <c r="B6" s="337" t="s">
        <v>121</v>
      </c>
      <c r="C6" s="337"/>
      <c r="D6" s="198" t="s">
        <v>122</v>
      </c>
      <c r="E6" s="116" t="s">
        <v>123</v>
      </c>
      <c r="F6" s="116" t="s">
        <v>124</v>
      </c>
      <c r="G6" s="257"/>
      <c r="H6" s="75"/>
      <c r="I6" s="75"/>
    </row>
    <row r="7" spans="1:19" s="50" customFormat="1" ht="30.75" customHeight="1" x14ac:dyDescent="0.55000000000000004">
      <c r="A7" s="354" t="s">
        <v>125</v>
      </c>
      <c r="B7" s="55" t="s">
        <v>515</v>
      </c>
      <c r="C7" s="353" t="s">
        <v>126</v>
      </c>
      <c r="D7" s="353" t="s">
        <v>127</v>
      </c>
      <c r="E7" s="333">
        <f>327/853</f>
        <v>0.38335287221570924</v>
      </c>
      <c r="F7" s="333">
        <f>327/853</f>
        <v>0.38335287221570924</v>
      </c>
      <c r="G7" s="329" t="b">
        <v>1</v>
      </c>
      <c r="H7" s="359"/>
      <c r="I7" s="35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s="50" customFormat="1" ht="30.75" customHeight="1" x14ac:dyDescent="0.55000000000000004">
      <c r="A8" s="354"/>
      <c r="B8" s="56" t="s">
        <v>516</v>
      </c>
      <c r="C8" s="353"/>
      <c r="D8" s="353"/>
      <c r="E8" s="333"/>
      <c r="F8" s="333"/>
      <c r="G8" s="329"/>
      <c r="H8" s="359"/>
      <c r="I8" s="35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s="50" customFormat="1" ht="24" customHeight="1" x14ac:dyDescent="0.55000000000000004">
      <c r="A9" s="54"/>
      <c r="B9" s="52"/>
      <c r="C9" s="52"/>
      <c r="D9" s="52"/>
      <c r="E9" s="52"/>
      <c r="F9" s="53"/>
      <c r="G9" s="53"/>
      <c r="H9" s="75"/>
      <c r="I9" s="75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s="50" customFormat="1" ht="45" customHeight="1" x14ac:dyDescent="0.55000000000000004">
      <c r="A10" s="356" t="s">
        <v>129</v>
      </c>
      <c r="B10" s="356"/>
      <c r="C10" s="356"/>
      <c r="D10" s="356"/>
      <c r="E10" s="356"/>
      <c r="F10" s="356"/>
      <c r="G10" s="256"/>
      <c r="H10" s="75"/>
      <c r="I10" s="75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s="50" customFormat="1" ht="45" customHeight="1" x14ac:dyDescent="0.55000000000000004">
      <c r="A11" s="115" t="s">
        <v>101</v>
      </c>
      <c r="B11" s="337" t="s">
        <v>121</v>
      </c>
      <c r="C11" s="337"/>
      <c r="D11" s="116" t="s">
        <v>122</v>
      </c>
      <c r="E11" s="116" t="str">
        <f>$E$6</f>
        <v>Meta
2023</v>
      </c>
      <c r="F11" s="116" t="str">
        <f>$F$6</f>
        <v>Meta
2024</v>
      </c>
      <c r="G11" s="257"/>
      <c r="H11" s="75"/>
      <c r="I11" s="75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50" customFormat="1" ht="34.5" customHeight="1" x14ac:dyDescent="0.55000000000000004">
      <c r="A12" s="354" t="s">
        <v>130</v>
      </c>
      <c r="B12" s="55" t="s">
        <v>517</v>
      </c>
      <c r="C12" s="353" t="s">
        <v>126</v>
      </c>
      <c r="D12" s="353" t="s">
        <v>131</v>
      </c>
      <c r="E12" s="333">
        <f>1196/1595</f>
        <v>0.74984326018808778</v>
      </c>
      <c r="F12" s="333">
        <f>1196/1595</f>
        <v>0.74984326018808778</v>
      </c>
      <c r="G12" s="329" t="b">
        <v>1</v>
      </c>
      <c r="H12" s="359"/>
      <c r="I12" s="35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s="50" customFormat="1" ht="34.5" customHeight="1" x14ac:dyDescent="0.55000000000000004">
      <c r="A13" s="354"/>
      <c r="B13" s="56" t="s">
        <v>518</v>
      </c>
      <c r="C13" s="353"/>
      <c r="D13" s="353"/>
      <c r="E13" s="333"/>
      <c r="F13" s="333"/>
      <c r="G13" s="329"/>
      <c r="H13" s="359"/>
      <c r="I13" s="35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50" customFormat="1" ht="34.5" customHeight="1" x14ac:dyDescent="0.55000000000000004">
      <c r="A14" s="354" t="s">
        <v>132</v>
      </c>
      <c r="B14" s="55" t="s">
        <v>519</v>
      </c>
      <c r="C14" s="353" t="s">
        <v>126</v>
      </c>
      <c r="D14" s="353" t="s">
        <v>131</v>
      </c>
      <c r="E14" s="333">
        <f>598/1196</f>
        <v>0.5</v>
      </c>
      <c r="F14" s="333">
        <f>598/1196</f>
        <v>0.5</v>
      </c>
      <c r="G14" s="329" t="b">
        <v>1</v>
      </c>
      <c r="H14" s="359"/>
      <c r="I14" s="35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0" customFormat="1" ht="34.5" customHeight="1" x14ac:dyDescent="0.55000000000000004">
      <c r="A15" s="354"/>
      <c r="B15" s="56" t="s">
        <v>520</v>
      </c>
      <c r="C15" s="353"/>
      <c r="D15" s="353"/>
      <c r="E15" s="333"/>
      <c r="F15" s="333"/>
      <c r="G15" s="329"/>
      <c r="H15" s="359"/>
      <c r="I15" s="35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s="50" customFormat="1" ht="34.5" customHeight="1" x14ac:dyDescent="0.55000000000000004">
      <c r="A16" s="354" t="s">
        <v>135</v>
      </c>
      <c r="B16" s="245" t="s">
        <v>521</v>
      </c>
      <c r="C16" s="246"/>
      <c r="D16" s="353" t="s">
        <v>131</v>
      </c>
      <c r="E16" s="355">
        <f>(61834/12)/18651</f>
        <v>0.27627651779171802</v>
      </c>
      <c r="F16" s="355">
        <f>(61834/12)/18651</f>
        <v>0.27627651779171802</v>
      </c>
      <c r="G16" s="329" t="b">
        <v>1</v>
      </c>
      <c r="H16" s="360"/>
      <c r="I16" s="361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50" customFormat="1" ht="34.5" customHeight="1" x14ac:dyDescent="0.55000000000000004">
      <c r="A17" s="354"/>
      <c r="B17" s="247" t="s">
        <v>522</v>
      </c>
      <c r="C17" s="248"/>
      <c r="D17" s="353"/>
      <c r="E17" s="355"/>
      <c r="F17" s="355"/>
      <c r="G17" s="329"/>
      <c r="H17" s="360"/>
      <c r="I17" s="361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0" customFormat="1" ht="34.5" customHeight="1" x14ac:dyDescent="0.55000000000000004">
      <c r="A18" s="354" t="s">
        <v>136</v>
      </c>
      <c r="B18" s="55" t="s">
        <v>523</v>
      </c>
      <c r="C18" s="353" t="s">
        <v>126</v>
      </c>
      <c r="D18" s="353" t="s">
        <v>131</v>
      </c>
      <c r="E18" s="333">
        <f>313/447</f>
        <v>0.70022371364653246</v>
      </c>
      <c r="F18" s="333">
        <f>313/447</f>
        <v>0.70022371364653246</v>
      </c>
      <c r="G18" s="329" t="b">
        <v>1</v>
      </c>
      <c r="H18" s="282"/>
      <c r="I18" s="35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0" customFormat="1" ht="34.5" customHeight="1" x14ac:dyDescent="0.55000000000000004">
      <c r="A19" s="354"/>
      <c r="B19" s="56" t="s">
        <v>524</v>
      </c>
      <c r="C19" s="353"/>
      <c r="D19" s="353"/>
      <c r="E19" s="333"/>
      <c r="F19" s="333"/>
      <c r="G19" s="329"/>
      <c r="H19" s="283" t="s">
        <v>525</v>
      </c>
      <c r="I19" s="35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50" customFormat="1" ht="34.5" hidden="1" customHeight="1" x14ac:dyDescent="0.55000000000000004">
      <c r="A20" s="354" t="s">
        <v>137</v>
      </c>
      <c r="B20" s="55" t="s">
        <v>138</v>
      </c>
      <c r="C20" s="353" t="s">
        <v>126</v>
      </c>
      <c r="D20" s="353" t="s">
        <v>139</v>
      </c>
      <c r="E20" s="333" t="s">
        <v>140</v>
      </c>
      <c r="F20" s="333" t="s">
        <v>140</v>
      </c>
      <c r="G20" s="330" t="b">
        <v>1</v>
      </c>
      <c r="H20" s="362" t="s">
        <v>526</v>
      </c>
      <c r="I20" s="363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s="50" customFormat="1" ht="34.5" hidden="1" customHeight="1" x14ac:dyDescent="0.55000000000000004">
      <c r="A21" s="354"/>
      <c r="B21" s="56" t="s">
        <v>141</v>
      </c>
      <c r="C21" s="353"/>
      <c r="D21" s="353"/>
      <c r="E21" s="333"/>
      <c r="F21" s="333"/>
      <c r="G21" s="330"/>
      <c r="H21" s="362"/>
      <c r="I21" s="363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0" customFormat="1" ht="34.5" customHeight="1" x14ac:dyDescent="0.55000000000000004">
      <c r="A22" s="354" t="s">
        <v>142</v>
      </c>
      <c r="B22" s="55" t="s">
        <v>527</v>
      </c>
      <c r="C22" s="353" t="s">
        <v>126</v>
      </c>
      <c r="D22" s="353" t="s">
        <v>139</v>
      </c>
      <c r="E22" s="333">
        <f>9/15</f>
        <v>0.6</v>
      </c>
      <c r="F22" s="333">
        <f>9/15</f>
        <v>0.6</v>
      </c>
      <c r="G22" s="329" t="b">
        <v>1</v>
      </c>
      <c r="H22" s="359"/>
      <c r="I22" s="35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0" customFormat="1" ht="34.5" customHeight="1" x14ac:dyDescent="0.55000000000000004">
      <c r="A23" s="354"/>
      <c r="B23" s="56" t="s">
        <v>528</v>
      </c>
      <c r="C23" s="353"/>
      <c r="D23" s="353"/>
      <c r="E23" s="333"/>
      <c r="F23" s="333"/>
      <c r="G23" s="329"/>
      <c r="H23" s="359"/>
      <c r="I23" s="35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0" customFormat="1" ht="34.5" customHeight="1" x14ac:dyDescent="0.55000000000000004">
      <c r="A24" s="354" t="s">
        <v>143</v>
      </c>
      <c r="B24" s="55" t="s">
        <v>529</v>
      </c>
      <c r="C24" s="353" t="s">
        <v>126</v>
      </c>
      <c r="D24" s="353" t="s">
        <v>144</v>
      </c>
      <c r="E24" s="333">
        <f>1196/2990</f>
        <v>0.4</v>
      </c>
      <c r="F24" s="333">
        <f>1196/2990</f>
        <v>0.4</v>
      </c>
      <c r="G24" s="329" t="b">
        <v>1</v>
      </c>
      <c r="H24" s="282"/>
      <c r="I24" s="35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0" customFormat="1" ht="34.5" customHeight="1" x14ac:dyDescent="0.55000000000000004">
      <c r="A25" s="354"/>
      <c r="B25" s="56" t="s">
        <v>530</v>
      </c>
      <c r="C25" s="353"/>
      <c r="D25" s="353"/>
      <c r="E25" s="333"/>
      <c r="F25" s="333"/>
      <c r="G25" s="329"/>
      <c r="H25" s="283" t="s">
        <v>525</v>
      </c>
      <c r="I25" s="35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0" customFormat="1" ht="34.5" hidden="1" customHeight="1" x14ac:dyDescent="0.55000000000000004">
      <c r="A26" s="354" t="s">
        <v>145</v>
      </c>
      <c r="B26" s="55" t="s">
        <v>146</v>
      </c>
      <c r="C26" s="353" t="s">
        <v>126</v>
      </c>
      <c r="D26" s="353" t="s">
        <v>144</v>
      </c>
      <c r="E26" s="333" t="s">
        <v>140</v>
      </c>
      <c r="F26" s="333" t="s">
        <v>140</v>
      </c>
      <c r="G26" s="330" t="b">
        <v>1</v>
      </c>
      <c r="H26" s="364" t="s">
        <v>526</v>
      </c>
      <c r="I26" s="363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34.5" hidden="1" customHeight="1" x14ac:dyDescent="0.55000000000000004">
      <c r="A27" s="354"/>
      <c r="B27" s="56" t="s">
        <v>133</v>
      </c>
      <c r="C27" s="353"/>
      <c r="D27" s="353"/>
      <c r="E27" s="333"/>
      <c r="F27" s="333"/>
      <c r="G27" s="330"/>
      <c r="H27" s="365"/>
      <c r="I27" s="363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34.5" hidden="1" customHeight="1" x14ac:dyDescent="0.55000000000000004">
      <c r="A28" s="354" t="s">
        <v>147</v>
      </c>
      <c r="B28" s="55" t="s">
        <v>148</v>
      </c>
      <c r="C28" s="353" t="s">
        <v>126</v>
      </c>
      <c r="D28" s="353" t="s">
        <v>144</v>
      </c>
      <c r="E28" s="333" t="s">
        <v>140</v>
      </c>
      <c r="F28" s="333" t="s">
        <v>140</v>
      </c>
      <c r="G28" s="330" t="b">
        <v>1</v>
      </c>
      <c r="H28" s="365"/>
      <c r="I28" s="363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34.5" hidden="1" customHeight="1" x14ac:dyDescent="0.55000000000000004">
      <c r="A29" s="354"/>
      <c r="B29" s="56" t="s">
        <v>134</v>
      </c>
      <c r="C29" s="353"/>
      <c r="D29" s="353"/>
      <c r="E29" s="333"/>
      <c r="F29" s="333"/>
      <c r="G29" s="330"/>
      <c r="H29" s="365"/>
      <c r="I29" s="363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34.5" hidden="1" customHeight="1" x14ac:dyDescent="0.55000000000000004">
      <c r="A30" s="354" t="s">
        <v>149</v>
      </c>
      <c r="B30" s="55" t="s">
        <v>150</v>
      </c>
      <c r="C30" s="353" t="s">
        <v>126</v>
      </c>
      <c r="D30" s="353" t="s">
        <v>144</v>
      </c>
      <c r="E30" s="333" t="s">
        <v>140</v>
      </c>
      <c r="F30" s="333" t="s">
        <v>140</v>
      </c>
      <c r="G30" s="330" t="b">
        <v>1</v>
      </c>
      <c r="H30" s="365"/>
      <c r="I30" s="363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34.5" hidden="1" customHeight="1" x14ac:dyDescent="0.55000000000000004">
      <c r="A31" s="354"/>
      <c r="B31" s="56" t="s">
        <v>151</v>
      </c>
      <c r="C31" s="353"/>
      <c r="D31" s="353"/>
      <c r="E31" s="333"/>
      <c r="F31" s="333"/>
      <c r="G31" s="330"/>
      <c r="H31" s="365"/>
      <c r="I31" s="363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114" customFormat="1" ht="45" customHeight="1" x14ac:dyDescent="0.55000000000000004">
      <c r="A32" s="115" t="s">
        <v>152</v>
      </c>
      <c r="B32" s="337" t="s">
        <v>121</v>
      </c>
      <c r="C32" s="337"/>
      <c r="D32" s="116" t="s">
        <v>122</v>
      </c>
      <c r="E32" s="116" t="str">
        <f>$E$6</f>
        <v>Meta
2023</v>
      </c>
      <c r="F32" s="116" t="str">
        <f>$F$6</f>
        <v>Meta
2024</v>
      </c>
      <c r="G32" s="257"/>
      <c r="H32" s="76"/>
      <c r="I32" s="76"/>
    </row>
    <row r="33" spans="1:19" s="50" customFormat="1" ht="34.5" customHeight="1" x14ac:dyDescent="0.55000000000000004">
      <c r="A33" s="354" t="s">
        <v>153</v>
      </c>
      <c r="B33" s="55" t="s">
        <v>531</v>
      </c>
      <c r="C33" s="353" t="s">
        <v>126</v>
      </c>
      <c r="D33" s="353" t="s">
        <v>154</v>
      </c>
      <c r="E33" s="333">
        <f>27758/27758</f>
        <v>1</v>
      </c>
      <c r="F33" s="333">
        <f>27758/27758</f>
        <v>1</v>
      </c>
      <c r="G33" s="329" t="b">
        <v>1</v>
      </c>
      <c r="H33" s="359"/>
      <c r="I33" s="35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34.5" customHeight="1" x14ac:dyDescent="0.55000000000000004">
      <c r="A34" s="354"/>
      <c r="B34" s="56" t="s">
        <v>532</v>
      </c>
      <c r="C34" s="353"/>
      <c r="D34" s="353"/>
      <c r="E34" s="333"/>
      <c r="F34" s="333"/>
      <c r="G34" s="329"/>
      <c r="H34" s="359"/>
      <c r="I34" s="35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0" customFormat="1" ht="34.5" customHeight="1" x14ac:dyDescent="0.55000000000000004">
      <c r="A35" s="354" t="s">
        <v>155</v>
      </c>
      <c r="B35" s="55" t="s">
        <v>533</v>
      </c>
      <c r="C35" s="353" t="s">
        <v>126</v>
      </c>
      <c r="D35" s="353" t="s">
        <v>154</v>
      </c>
      <c r="E35" s="333">
        <f>840/894</f>
        <v>0.93959731543624159</v>
      </c>
      <c r="F35" s="333">
        <f>840/894</f>
        <v>0.93959731543624159</v>
      </c>
      <c r="G35" s="329" t="b">
        <v>1</v>
      </c>
      <c r="H35" s="359"/>
      <c r="I35" s="35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0" customFormat="1" ht="34.5" customHeight="1" x14ac:dyDescent="0.55000000000000004">
      <c r="A36" s="354"/>
      <c r="B36" s="56" t="s">
        <v>534</v>
      </c>
      <c r="C36" s="353"/>
      <c r="D36" s="353"/>
      <c r="E36" s="333"/>
      <c r="F36" s="333"/>
      <c r="G36" s="329"/>
      <c r="H36" s="359"/>
      <c r="I36" s="35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0" customFormat="1" ht="34.5" customHeight="1" x14ac:dyDescent="0.55000000000000004">
      <c r="A37" s="354" t="s">
        <v>156</v>
      </c>
      <c r="B37" s="55" t="s">
        <v>157</v>
      </c>
      <c r="C37" s="353" t="s">
        <v>126</v>
      </c>
      <c r="D37" s="353" t="s">
        <v>154</v>
      </c>
      <c r="E37" s="333" t="s">
        <v>158</v>
      </c>
      <c r="F37" s="333" t="s">
        <v>158</v>
      </c>
      <c r="G37" s="329" t="b">
        <v>1</v>
      </c>
      <c r="H37" s="359"/>
      <c r="I37" s="35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0" customFormat="1" ht="34.5" customHeight="1" x14ac:dyDescent="0.55000000000000004">
      <c r="A38" s="354"/>
      <c r="B38" s="56" t="s">
        <v>159</v>
      </c>
      <c r="C38" s="353"/>
      <c r="D38" s="353"/>
      <c r="E38" s="333"/>
      <c r="F38" s="333"/>
      <c r="G38" s="329"/>
      <c r="H38" s="359"/>
      <c r="I38" s="35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50" customFormat="1" ht="45" customHeight="1" x14ac:dyDescent="0.55000000000000004">
      <c r="A39" s="115" t="s">
        <v>97</v>
      </c>
      <c r="B39" s="337" t="s">
        <v>121</v>
      </c>
      <c r="C39" s="337"/>
      <c r="D39" s="116" t="s">
        <v>122</v>
      </c>
      <c r="E39" s="116" t="str">
        <f>$E$6</f>
        <v>Meta
2023</v>
      </c>
      <c r="F39" s="116" t="str">
        <f>$F$6</f>
        <v>Meta
2024</v>
      </c>
      <c r="G39" s="257"/>
      <c r="H39" s="76"/>
      <c r="I39" s="76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s="50" customFormat="1" ht="34.5" customHeight="1" x14ac:dyDescent="0.55000000000000004">
      <c r="A40" s="338" t="s">
        <v>160</v>
      </c>
      <c r="B40" s="57" t="s">
        <v>161</v>
      </c>
      <c r="C40" s="353" t="s">
        <v>126</v>
      </c>
      <c r="D40" s="339" t="s">
        <v>162</v>
      </c>
      <c r="E40" s="333">
        <v>1</v>
      </c>
      <c r="F40" s="333">
        <v>1</v>
      </c>
      <c r="G40" s="329" t="b">
        <v>1</v>
      </c>
      <c r="H40" s="359"/>
      <c r="I40" s="35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s="50" customFormat="1" ht="34.5" customHeight="1" x14ac:dyDescent="0.55000000000000004">
      <c r="A41" s="338"/>
      <c r="B41" s="58" t="s">
        <v>163</v>
      </c>
      <c r="C41" s="353"/>
      <c r="D41" s="339"/>
      <c r="E41" s="333"/>
      <c r="F41" s="333"/>
      <c r="G41" s="329"/>
      <c r="H41" s="359"/>
      <c r="I41" s="35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0" customFormat="1" ht="34.5" customHeight="1" x14ac:dyDescent="0.55000000000000004">
      <c r="A42" s="338" t="s">
        <v>164</v>
      </c>
      <c r="B42" s="57" t="s">
        <v>535</v>
      </c>
      <c r="C42" s="353" t="s">
        <v>126</v>
      </c>
      <c r="D42" s="339" t="s">
        <v>139</v>
      </c>
      <c r="E42" s="333">
        <f>864/1440</f>
        <v>0.6</v>
      </c>
      <c r="F42" s="333">
        <f>864/1440</f>
        <v>0.6</v>
      </c>
      <c r="G42" s="329" t="b">
        <v>1</v>
      </c>
      <c r="H42" s="359"/>
      <c r="I42" s="35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0" customFormat="1" ht="34.5" customHeight="1" x14ac:dyDescent="0.55000000000000004">
      <c r="A43" s="338"/>
      <c r="B43" s="58" t="s">
        <v>536</v>
      </c>
      <c r="C43" s="353"/>
      <c r="D43" s="339"/>
      <c r="E43" s="333"/>
      <c r="F43" s="333"/>
      <c r="G43" s="329"/>
      <c r="H43" s="359"/>
      <c r="I43" s="35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s="50" customFormat="1" ht="34.5" customHeight="1" x14ac:dyDescent="0.55000000000000004">
      <c r="A44" s="338" t="s">
        <v>165</v>
      </c>
      <c r="B44" s="341" t="s">
        <v>537</v>
      </c>
      <c r="C44" s="341"/>
      <c r="D44" s="339" t="s">
        <v>139</v>
      </c>
      <c r="E44" s="352">
        <f>13000/1440</f>
        <v>9.0277777777777786</v>
      </c>
      <c r="F44" s="352">
        <f>13000/1440</f>
        <v>9.0277777777777786</v>
      </c>
      <c r="G44" s="329" t="b">
        <v>1</v>
      </c>
      <c r="H44" s="366"/>
      <c r="I44" s="366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s="50" customFormat="1" ht="34.5" customHeight="1" x14ac:dyDescent="0.55000000000000004">
      <c r="A45" s="338"/>
      <c r="B45" s="342" t="s">
        <v>538</v>
      </c>
      <c r="C45" s="342"/>
      <c r="D45" s="339"/>
      <c r="E45" s="352"/>
      <c r="F45" s="352"/>
      <c r="G45" s="329"/>
      <c r="H45" s="366"/>
      <c r="I45" s="366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s="50" customFormat="1" ht="34.5" customHeight="1" x14ac:dyDescent="0.55000000000000004">
      <c r="A46" s="338" t="s">
        <v>166</v>
      </c>
      <c r="B46" s="57" t="s">
        <v>539</v>
      </c>
      <c r="C46" s="340" t="s">
        <v>126</v>
      </c>
      <c r="D46" s="339" t="s">
        <v>139</v>
      </c>
      <c r="E46" s="333">
        <f>2820/ 4196</f>
        <v>0.6720686367969495</v>
      </c>
      <c r="F46" s="333">
        <f>2820/ 4196</f>
        <v>0.6720686367969495</v>
      </c>
      <c r="G46" s="329" t="b">
        <v>1</v>
      </c>
      <c r="H46" s="359"/>
      <c r="I46" s="35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34.5" customHeight="1" x14ac:dyDescent="0.55000000000000004">
      <c r="A47" s="338"/>
      <c r="B47" s="58" t="s">
        <v>540</v>
      </c>
      <c r="C47" s="340"/>
      <c r="D47" s="339"/>
      <c r="E47" s="333"/>
      <c r="F47" s="333"/>
      <c r="G47" s="329"/>
      <c r="H47" s="359"/>
      <c r="I47" s="359"/>
    </row>
    <row r="48" spans="1:19" s="50" customFormat="1" ht="45" customHeight="1" x14ac:dyDescent="0.55000000000000004">
      <c r="A48" s="115" t="s">
        <v>167</v>
      </c>
      <c r="B48" s="337" t="s">
        <v>121</v>
      </c>
      <c r="C48" s="337"/>
      <c r="D48" s="116" t="s">
        <v>122</v>
      </c>
      <c r="E48" s="116" t="str">
        <f>$E$6</f>
        <v>Meta
2023</v>
      </c>
      <c r="F48" s="116" t="str">
        <f>$F$6</f>
        <v>Meta
2024</v>
      </c>
      <c r="G48" s="257"/>
      <c r="H48" s="76"/>
      <c r="I48" s="76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53.25" customHeight="1" x14ac:dyDescent="0.55000000000000004">
      <c r="A49" s="59" t="s">
        <v>168</v>
      </c>
      <c r="B49" s="351" t="s">
        <v>169</v>
      </c>
      <c r="C49" s="351"/>
      <c r="D49" s="60" t="s">
        <v>127</v>
      </c>
      <c r="E49" s="197">
        <v>10</v>
      </c>
      <c r="F49" s="197">
        <v>10</v>
      </c>
      <c r="G49" s="281" t="b">
        <v>1</v>
      </c>
      <c r="H49" s="284"/>
      <c r="I49" s="285"/>
    </row>
    <row r="50" spans="1:19" s="50" customFormat="1" ht="45" customHeight="1" x14ac:dyDescent="0.55000000000000004">
      <c r="A50" s="115" t="s">
        <v>170</v>
      </c>
      <c r="B50" s="337" t="s">
        <v>121</v>
      </c>
      <c r="C50" s="337"/>
      <c r="D50" s="116" t="s">
        <v>122</v>
      </c>
      <c r="E50" s="116" t="str">
        <f>$E$6</f>
        <v>Meta
2023</v>
      </c>
      <c r="F50" s="116" t="str">
        <f>$F$6</f>
        <v>Meta
2024</v>
      </c>
      <c r="G50" s="258"/>
      <c r="H50" s="76"/>
      <c r="I50" s="76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34.5" hidden="1" customHeight="1" x14ac:dyDescent="0.55000000000000004">
      <c r="A51" s="338" t="s">
        <v>171</v>
      </c>
      <c r="B51" s="57" t="s">
        <v>172</v>
      </c>
      <c r="C51" s="340" t="s">
        <v>126</v>
      </c>
      <c r="D51" s="340" t="s">
        <v>127</v>
      </c>
      <c r="E51" s="333" t="s">
        <v>158</v>
      </c>
      <c r="F51" s="333" t="s">
        <v>158</v>
      </c>
      <c r="G51" s="330" t="b">
        <v>1</v>
      </c>
      <c r="H51" s="363"/>
      <c r="I51" s="363"/>
    </row>
    <row r="52" spans="1:19" ht="34.5" hidden="1" customHeight="1" x14ac:dyDescent="0.55000000000000004">
      <c r="A52" s="338"/>
      <c r="B52" s="58" t="s">
        <v>128</v>
      </c>
      <c r="C52" s="340"/>
      <c r="D52" s="340"/>
      <c r="E52" s="333"/>
      <c r="F52" s="333"/>
      <c r="G52" s="330"/>
      <c r="H52" s="363"/>
      <c r="I52" s="363"/>
    </row>
    <row r="53" spans="1:19" ht="34.5" customHeight="1" x14ac:dyDescent="0.55000000000000004">
      <c r="A53" s="338" t="s">
        <v>173</v>
      </c>
      <c r="B53" s="57" t="s">
        <v>541</v>
      </c>
      <c r="C53" s="340" t="s">
        <v>126</v>
      </c>
      <c r="D53" s="340" t="s">
        <v>127</v>
      </c>
      <c r="E53" s="333">
        <f>9/853</f>
        <v>1.0550996483001172E-2</v>
      </c>
      <c r="F53" s="333">
        <f>9/853</f>
        <v>1.0550996483001172E-2</v>
      </c>
      <c r="G53" s="329" t="b">
        <v>1</v>
      </c>
      <c r="H53" s="359"/>
      <c r="I53" s="359"/>
    </row>
    <row r="54" spans="1:19" ht="34.5" customHeight="1" x14ac:dyDescent="0.55000000000000004">
      <c r="A54" s="338"/>
      <c r="B54" s="58" t="s">
        <v>516</v>
      </c>
      <c r="C54" s="340"/>
      <c r="D54" s="340"/>
      <c r="E54" s="333"/>
      <c r="F54" s="333"/>
      <c r="G54" s="329"/>
      <c r="H54" s="359"/>
      <c r="I54" s="359"/>
    </row>
    <row r="55" spans="1:19" s="117" customFormat="1" ht="45" customHeight="1" x14ac:dyDescent="0.55000000000000004">
      <c r="A55" s="115" t="s">
        <v>106</v>
      </c>
      <c r="B55" s="337" t="s">
        <v>121</v>
      </c>
      <c r="C55" s="337"/>
      <c r="D55" s="116" t="s">
        <v>122</v>
      </c>
      <c r="E55" s="116" t="str">
        <f>$E$6</f>
        <v>Meta
2023</v>
      </c>
      <c r="F55" s="116" t="str">
        <f>$F$6</f>
        <v>Meta
2024</v>
      </c>
      <c r="G55" s="257"/>
      <c r="H55" s="76"/>
      <c r="I55" s="76"/>
    </row>
    <row r="56" spans="1:19" s="50" customFormat="1" ht="34.5" customHeight="1" x14ac:dyDescent="0.55000000000000004">
      <c r="A56" s="61" t="s">
        <v>174</v>
      </c>
      <c r="B56" s="340" t="s">
        <v>175</v>
      </c>
      <c r="C56" s="340"/>
      <c r="D56" s="62" t="s">
        <v>131</v>
      </c>
      <c r="E56" s="67">
        <v>170000</v>
      </c>
      <c r="F56" s="67">
        <v>170000</v>
      </c>
      <c r="G56" s="286" t="b">
        <v>1</v>
      </c>
      <c r="H56" s="287"/>
      <c r="I56" s="287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0" customFormat="1" ht="34.5" customHeight="1" x14ac:dyDescent="0.55000000000000004">
      <c r="A57" s="338" t="s">
        <v>176</v>
      </c>
      <c r="B57" s="57" t="s">
        <v>542</v>
      </c>
      <c r="C57" s="340" t="s">
        <v>126</v>
      </c>
      <c r="D57" s="340" t="s">
        <v>154</v>
      </c>
      <c r="E57" s="333">
        <f>42/600</f>
        <v>7.0000000000000007E-2</v>
      </c>
      <c r="F57" s="333">
        <f>42/600</f>
        <v>7.0000000000000007E-2</v>
      </c>
      <c r="G57" s="286" t="b">
        <v>1</v>
      </c>
      <c r="H57" s="359"/>
      <c r="I57" s="35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0" customFormat="1" ht="34.5" customHeight="1" x14ac:dyDescent="0.55000000000000004">
      <c r="A58" s="338"/>
      <c r="B58" s="58" t="s">
        <v>543</v>
      </c>
      <c r="C58" s="340"/>
      <c r="D58" s="340"/>
      <c r="E58" s="333"/>
      <c r="F58" s="333"/>
      <c r="G58" s="286"/>
      <c r="H58" s="359"/>
      <c r="I58" s="35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s="50" customFormat="1" ht="34.5" customHeight="1" x14ac:dyDescent="0.55000000000000004">
      <c r="A59" s="338" t="s">
        <v>177</v>
      </c>
      <c r="B59" s="57" t="s">
        <v>544</v>
      </c>
      <c r="C59" s="340" t="s">
        <v>126</v>
      </c>
      <c r="D59" s="340" t="s">
        <v>154</v>
      </c>
      <c r="E59" s="333">
        <f>14/15</f>
        <v>0.93333333333333335</v>
      </c>
      <c r="F59" s="333">
        <f>14/15</f>
        <v>0.93333333333333335</v>
      </c>
      <c r="G59" s="286" t="b">
        <v>1</v>
      </c>
      <c r="H59" s="359"/>
      <c r="I59" s="35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s="50" customFormat="1" ht="34.5" customHeight="1" x14ac:dyDescent="0.55000000000000004">
      <c r="A60" s="338"/>
      <c r="B60" s="58" t="s">
        <v>545</v>
      </c>
      <c r="C60" s="340"/>
      <c r="D60" s="340"/>
      <c r="E60" s="333"/>
      <c r="F60" s="333"/>
      <c r="G60" s="286"/>
      <c r="H60" s="359"/>
      <c r="I60" s="35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s="50" customFormat="1" ht="34.5" customHeight="1" x14ac:dyDescent="0.55000000000000004">
      <c r="A61" s="61" t="s">
        <v>178</v>
      </c>
      <c r="B61" s="340" t="s">
        <v>179</v>
      </c>
      <c r="C61" s="340"/>
      <c r="D61" s="62" t="s">
        <v>139</v>
      </c>
      <c r="E61" s="298">
        <v>500000</v>
      </c>
      <c r="F61" s="298">
        <v>500000</v>
      </c>
      <c r="G61" s="288" t="b">
        <v>1</v>
      </c>
      <c r="H61" s="287"/>
      <c r="I61" s="287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s="50" customFormat="1" ht="45" customHeight="1" x14ac:dyDescent="0.55000000000000004">
      <c r="A62" s="115" t="s">
        <v>107</v>
      </c>
      <c r="B62" s="337" t="s">
        <v>121</v>
      </c>
      <c r="C62" s="337"/>
      <c r="D62" s="116" t="s">
        <v>122</v>
      </c>
      <c r="E62" s="116" t="str">
        <f>$E$6</f>
        <v>Meta
2023</v>
      </c>
      <c r="F62" s="116" t="str">
        <f>$F$6</f>
        <v>Meta
2024</v>
      </c>
      <c r="G62" s="257"/>
      <c r="H62" s="76"/>
      <c r="I62" s="76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s="50" customFormat="1" ht="34.5" hidden="1" customHeight="1" x14ac:dyDescent="0.55000000000000004">
      <c r="A63" s="350" t="s">
        <v>180</v>
      </c>
      <c r="B63" s="63" t="s">
        <v>181</v>
      </c>
      <c r="C63" s="340" t="s">
        <v>126</v>
      </c>
      <c r="D63" s="340" t="s">
        <v>127</v>
      </c>
      <c r="E63" s="346" t="s">
        <v>158</v>
      </c>
      <c r="F63" s="346" t="s">
        <v>158</v>
      </c>
      <c r="G63" s="330" t="b">
        <v>1</v>
      </c>
      <c r="H63" s="363"/>
      <c r="I63" s="363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s="50" customFormat="1" ht="34.5" hidden="1" customHeight="1" x14ac:dyDescent="0.55000000000000004">
      <c r="A64" s="350"/>
      <c r="B64" s="64" t="s">
        <v>182</v>
      </c>
      <c r="C64" s="340"/>
      <c r="D64" s="340"/>
      <c r="E64" s="347"/>
      <c r="F64" s="347"/>
      <c r="G64" s="330"/>
      <c r="H64" s="363"/>
      <c r="I64" s="363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s="50" customFormat="1" ht="34.5" customHeight="1" x14ac:dyDescent="0.55000000000000004">
      <c r="A65" s="345" t="s">
        <v>183</v>
      </c>
      <c r="B65" s="65" t="s">
        <v>546</v>
      </c>
      <c r="C65" s="340" t="s">
        <v>126</v>
      </c>
      <c r="D65" s="340" t="s">
        <v>127</v>
      </c>
      <c r="E65" s="346">
        <f>11/48</f>
        <v>0.22916666666666666</v>
      </c>
      <c r="F65" s="346">
        <f>11/48</f>
        <v>0.22916666666666666</v>
      </c>
      <c r="G65" s="329" t="b">
        <v>1</v>
      </c>
      <c r="H65" s="359"/>
      <c r="I65" s="35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s="50" customFormat="1" ht="34.5" customHeight="1" x14ac:dyDescent="0.55000000000000004">
      <c r="A66" s="345"/>
      <c r="B66" s="66" t="s">
        <v>547</v>
      </c>
      <c r="C66" s="340"/>
      <c r="D66" s="340"/>
      <c r="E66" s="347"/>
      <c r="F66" s="347"/>
      <c r="G66" s="329"/>
      <c r="H66" s="359"/>
      <c r="I66" s="35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s="50" customFormat="1" ht="34.5" customHeight="1" x14ac:dyDescent="0.55000000000000004">
      <c r="A67" s="338" t="s">
        <v>184</v>
      </c>
      <c r="B67" s="341" t="s">
        <v>548</v>
      </c>
      <c r="C67" s="341"/>
      <c r="D67" s="340" t="s">
        <v>139</v>
      </c>
      <c r="E67" s="348">
        <f>565.45/730</f>
        <v>0.77458904109589044</v>
      </c>
      <c r="F67" s="348">
        <f>565.45/730</f>
        <v>0.77458904109589044</v>
      </c>
      <c r="G67" s="329" t="b">
        <v>1</v>
      </c>
      <c r="H67" s="360"/>
      <c r="I67" s="360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s="50" customFormat="1" ht="34.5" customHeight="1" x14ac:dyDescent="0.55000000000000004">
      <c r="A68" s="338"/>
      <c r="B68" s="342" t="s">
        <v>549</v>
      </c>
      <c r="C68" s="342"/>
      <c r="D68" s="340"/>
      <c r="E68" s="349"/>
      <c r="F68" s="349"/>
      <c r="G68" s="329"/>
      <c r="H68" s="360"/>
      <c r="I68" s="360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s="114" customFormat="1" ht="45" customHeight="1" x14ac:dyDescent="0.55000000000000004">
      <c r="A69" s="115" t="s">
        <v>108</v>
      </c>
      <c r="B69" s="337" t="s">
        <v>121</v>
      </c>
      <c r="C69" s="337"/>
      <c r="D69" s="116" t="s">
        <v>122</v>
      </c>
      <c r="E69" s="116" t="str">
        <f>$E$6</f>
        <v>Meta
2023</v>
      </c>
      <c r="F69" s="116" t="str">
        <f>$F$6</f>
        <v>Meta
2024</v>
      </c>
      <c r="G69" s="257"/>
      <c r="H69" s="76"/>
      <c r="I69" s="76"/>
    </row>
    <row r="70" spans="1:19" s="50" customFormat="1" ht="34.5" customHeight="1" x14ac:dyDescent="0.55000000000000004">
      <c r="A70" s="338" t="s">
        <v>185</v>
      </c>
      <c r="B70" s="341" t="s">
        <v>592</v>
      </c>
      <c r="C70" s="341"/>
      <c r="D70" s="340" t="s">
        <v>154</v>
      </c>
      <c r="E70" s="332">
        <f>61834/(20538718/1000)</f>
        <v>3.0106066016389144</v>
      </c>
      <c r="F70" s="344">
        <f>63896/(20538718/1000)</f>
        <v>3.1110023517534051</v>
      </c>
      <c r="G70" s="329" t="b">
        <v>1</v>
      </c>
      <c r="H70" s="361"/>
      <c r="I70" s="361">
        <f>'Diretrizes - Resumo'!AI24/('Diretrizes - Resumo'!AI27/1000)</f>
        <v>3.1110023517534051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s="50" customFormat="1" ht="34.5" customHeight="1" x14ac:dyDescent="0.55000000000000004">
      <c r="A71" s="338"/>
      <c r="B71" s="342" t="s">
        <v>551</v>
      </c>
      <c r="C71" s="342"/>
      <c r="D71" s="340"/>
      <c r="E71" s="332"/>
      <c r="F71" s="344"/>
      <c r="G71" s="329"/>
      <c r="H71" s="361"/>
      <c r="I71" s="361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s="50" customFormat="1" ht="34.5" customHeight="1" x14ac:dyDescent="0.55000000000000004">
      <c r="A72" s="338" t="s">
        <v>186</v>
      </c>
      <c r="B72" s="57" t="s">
        <v>552</v>
      </c>
      <c r="C72" s="340" t="s">
        <v>126</v>
      </c>
      <c r="D72" s="340" t="s">
        <v>154</v>
      </c>
      <c r="E72" s="333">
        <f>1484/61834</f>
        <v>2.3999741242682018E-2</v>
      </c>
      <c r="F72" s="333">
        <f>1484/61834</f>
        <v>2.3999741242682018E-2</v>
      </c>
      <c r="G72" s="329" t="b">
        <v>1</v>
      </c>
      <c r="H72" s="359"/>
      <c r="I72" s="35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34.5" customHeight="1" x14ac:dyDescent="0.55000000000000004">
      <c r="A73" s="338"/>
      <c r="B73" s="58" t="s">
        <v>550</v>
      </c>
      <c r="C73" s="340"/>
      <c r="D73" s="340"/>
      <c r="E73" s="333"/>
      <c r="F73" s="333"/>
      <c r="G73" s="329"/>
      <c r="H73" s="359"/>
      <c r="I73" s="359"/>
    </row>
    <row r="74" spans="1:19" s="50" customFormat="1" ht="34.5" customHeight="1" x14ac:dyDescent="0.55000000000000004">
      <c r="A74" s="338" t="s">
        <v>187</v>
      </c>
      <c r="B74" s="57" t="s">
        <v>553</v>
      </c>
      <c r="C74" s="340" t="s">
        <v>126</v>
      </c>
      <c r="D74" s="340" t="s">
        <v>154</v>
      </c>
      <c r="E74" s="333">
        <f>124/61834</f>
        <v>2.0053692143480934E-3</v>
      </c>
      <c r="F74" s="333">
        <f>124/61834</f>
        <v>2.0053692143480934E-3</v>
      </c>
      <c r="G74" s="329" t="b">
        <v>1</v>
      </c>
      <c r="H74" s="359"/>
      <c r="I74" s="359"/>
    </row>
    <row r="75" spans="1:19" s="50" customFormat="1" ht="34.5" customHeight="1" x14ac:dyDescent="0.55000000000000004">
      <c r="A75" s="338"/>
      <c r="B75" s="58" t="s">
        <v>550</v>
      </c>
      <c r="C75" s="340"/>
      <c r="D75" s="340"/>
      <c r="E75" s="333"/>
      <c r="F75" s="333"/>
      <c r="G75" s="329"/>
      <c r="H75" s="359"/>
      <c r="I75" s="359"/>
    </row>
    <row r="76" spans="1:19" s="50" customFormat="1" ht="45" customHeight="1" x14ac:dyDescent="0.55000000000000004">
      <c r="A76" s="115" t="s">
        <v>109</v>
      </c>
      <c r="B76" s="337" t="s">
        <v>121</v>
      </c>
      <c r="C76" s="337"/>
      <c r="D76" s="116" t="s">
        <v>122</v>
      </c>
      <c r="E76" s="116" t="str">
        <f>$E$6</f>
        <v>Meta
2023</v>
      </c>
      <c r="F76" s="116" t="str">
        <f>$F$6</f>
        <v>Meta
2024</v>
      </c>
      <c r="G76" s="257"/>
      <c r="H76" s="76"/>
      <c r="I76" s="76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34.5" customHeight="1" x14ac:dyDescent="0.55000000000000004">
      <c r="A77" s="338" t="s">
        <v>188</v>
      </c>
      <c r="B77" s="341" t="s">
        <v>566</v>
      </c>
      <c r="C77" s="341"/>
      <c r="D77" s="340" t="s">
        <v>139</v>
      </c>
      <c r="E77" s="343">
        <f>15134473.7/18651</f>
        <v>811.45642056726172</v>
      </c>
      <c r="F77" s="343">
        <f>15767683.31/19513</f>
        <v>808.06043714446787</v>
      </c>
      <c r="G77" s="329" t="b">
        <v>1</v>
      </c>
      <c r="H77" s="366"/>
      <c r="I77" s="366">
        <v>808.06043714446776</v>
      </c>
    </row>
    <row r="78" spans="1:19" ht="34.5" customHeight="1" x14ac:dyDescent="0.55000000000000004">
      <c r="A78" s="338"/>
      <c r="B78" s="342" t="s">
        <v>567</v>
      </c>
      <c r="C78" s="342"/>
      <c r="D78" s="340"/>
      <c r="E78" s="343"/>
      <c r="F78" s="343"/>
      <c r="G78" s="329"/>
      <c r="H78" s="366"/>
      <c r="I78" s="366"/>
    </row>
    <row r="79" spans="1:19" ht="34.5" customHeight="1" x14ac:dyDescent="0.55000000000000004">
      <c r="A79" s="338" t="s">
        <v>189</v>
      </c>
      <c r="B79" s="57" t="s">
        <v>569</v>
      </c>
      <c r="C79" s="340" t="s">
        <v>126</v>
      </c>
      <c r="D79" s="340" t="s">
        <v>190</v>
      </c>
      <c r="E79" s="333">
        <f>8788169.78/15134473.7</f>
        <v>0.58067230841334116</v>
      </c>
      <c r="F79" s="333">
        <f>9745604.05/15767683.31</f>
        <v>0.61807456798800964</v>
      </c>
      <c r="G79" s="329" t="b">
        <v>0</v>
      </c>
      <c r="H79" s="359"/>
      <c r="I79" s="359">
        <v>0.61807456788397175</v>
      </c>
    </row>
    <row r="80" spans="1:19" ht="34.5" customHeight="1" x14ac:dyDescent="0.55000000000000004">
      <c r="A80" s="338"/>
      <c r="B80" s="58" t="s">
        <v>566</v>
      </c>
      <c r="C80" s="340"/>
      <c r="D80" s="340"/>
      <c r="E80" s="333"/>
      <c r="F80" s="333"/>
      <c r="G80" s="329"/>
      <c r="H80" s="359"/>
      <c r="I80" s="359"/>
    </row>
    <row r="81" spans="1:19" ht="34.5" customHeight="1" x14ac:dyDescent="0.55000000000000004">
      <c r="A81" s="338" t="s">
        <v>191</v>
      </c>
      <c r="B81" s="341" t="s">
        <v>573</v>
      </c>
      <c r="C81" s="341"/>
      <c r="D81" s="340" t="s">
        <v>139</v>
      </c>
      <c r="E81" s="332">
        <f>29685286.73/1035079.39</f>
        <v>28.679236604256992</v>
      </c>
      <c r="F81" s="332">
        <f>27402670.27/1390341.56</f>
        <v>19.70930817172724</v>
      </c>
      <c r="G81" s="329" t="b">
        <v>1</v>
      </c>
      <c r="H81" s="360"/>
      <c r="I81" s="360"/>
    </row>
    <row r="82" spans="1:19" ht="34.5" customHeight="1" x14ac:dyDescent="0.55000000000000004">
      <c r="A82" s="338"/>
      <c r="B82" s="342" t="s">
        <v>568</v>
      </c>
      <c r="C82" s="342"/>
      <c r="D82" s="340"/>
      <c r="E82" s="332"/>
      <c r="F82" s="332"/>
      <c r="G82" s="329"/>
      <c r="H82" s="360"/>
      <c r="I82" s="360"/>
    </row>
    <row r="83" spans="1:19" ht="34.5" customHeight="1" x14ac:dyDescent="0.55000000000000004">
      <c r="A83" s="338" t="s">
        <v>192</v>
      </c>
      <c r="B83" s="57" t="s">
        <v>570</v>
      </c>
      <c r="C83" s="340" t="s">
        <v>126</v>
      </c>
      <c r="D83" s="340" t="s">
        <v>144</v>
      </c>
      <c r="E83" s="333">
        <f>4644/18651</f>
        <v>0.24899469197362073</v>
      </c>
      <c r="F83" s="333">
        <v>0.28899999999999998</v>
      </c>
      <c r="G83" s="329" t="b">
        <v>1</v>
      </c>
      <c r="H83" s="359"/>
      <c r="I83" s="359">
        <v>0.28882733834207402</v>
      </c>
    </row>
    <row r="84" spans="1:19" s="50" customFormat="1" ht="34.5" customHeight="1" x14ac:dyDescent="0.55000000000000004">
      <c r="A84" s="338"/>
      <c r="B84" s="58" t="s">
        <v>567</v>
      </c>
      <c r="C84" s="340"/>
      <c r="D84" s="340"/>
      <c r="E84" s="333"/>
      <c r="F84" s="333"/>
      <c r="G84" s="329"/>
      <c r="H84" s="359"/>
      <c r="I84" s="35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s="50" customFormat="1" ht="34.5" customHeight="1" x14ac:dyDescent="0.55000000000000004">
      <c r="A85" s="338" t="s">
        <v>193</v>
      </c>
      <c r="B85" s="57" t="s">
        <v>572</v>
      </c>
      <c r="C85" s="340" t="s">
        <v>126</v>
      </c>
      <c r="D85" s="340" t="s">
        <v>144</v>
      </c>
      <c r="E85" s="333">
        <f>929/2256</f>
        <v>0.41179078014184395</v>
      </c>
      <c r="F85" s="333">
        <v>0.45400000000000001</v>
      </c>
      <c r="G85" s="329" t="b">
        <v>1</v>
      </c>
      <c r="H85" s="359"/>
      <c r="I85" s="359">
        <v>0.45353793691389599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s="50" customFormat="1" ht="34.5" customHeight="1" x14ac:dyDescent="0.55000000000000004">
      <c r="A86" s="338"/>
      <c r="B86" s="58" t="s">
        <v>571</v>
      </c>
      <c r="C86" s="340"/>
      <c r="D86" s="340"/>
      <c r="E86" s="333"/>
      <c r="F86" s="333"/>
      <c r="G86" s="329"/>
      <c r="H86" s="359"/>
      <c r="I86" s="35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s="50" customFormat="1" ht="45" customHeight="1" x14ac:dyDescent="0.55000000000000004">
      <c r="A87" s="115" t="s">
        <v>99</v>
      </c>
      <c r="B87" s="337" t="s">
        <v>121</v>
      </c>
      <c r="C87" s="337"/>
      <c r="D87" s="116" t="s">
        <v>122</v>
      </c>
      <c r="E87" s="116" t="str">
        <f>$E$6</f>
        <v>Meta
2023</v>
      </c>
      <c r="F87" s="116" t="str">
        <f>$F$6</f>
        <v>Meta
2024</v>
      </c>
      <c r="G87" s="257"/>
      <c r="H87" s="76"/>
      <c r="I87" s="76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s="50" customFormat="1" ht="34.5" customHeight="1" x14ac:dyDescent="0.55000000000000004">
      <c r="A88" s="338" t="s">
        <v>194</v>
      </c>
      <c r="B88" s="57" t="s">
        <v>554</v>
      </c>
      <c r="C88" s="340" t="s">
        <v>126</v>
      </c>
      <c r="D88" s="340" t="s">
        <v>190</v>
      </c>
      <c r="E88" s="333">
        <f>67/67</f>
        <v>1</v>
      </c>
      <c r="F88" s="333">
        <f>67/67</f>
        <v>1</v>
      </c>
      <c r="G88" s="329" t="b">
        <v>1</v>
      </c>
      <c r="H88" s="359"/>
      <c r="I88" s="35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s="50" customFormat="1" ht="34.5" customHeight="1" x14ac:dyDescent="0.55000000000000004">
      <c r="A89" s="338"/>
      <c r="B89" s="58" t="s">
        <v>555</v>
      </c>
      <c r="C89" s="340"/>
      <c r="D89" s="340"/>
      <c r="E89" s="333"/>
      <c r="F89" s="333"/>
      <c r="G89" s="329"/>
      <c r="H89" s="359"/>
      <c r="I89" s="35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s="50" customFormat="1" ht="34.5" customHeight="1" x14ac:dyDescent="0.55000000000000004">
      <c r="A90" s="338" t="s">
        <v>195</v>
      </c>
      <c r="B90" s="57" t="s">
        <v>556</v>
      </c>
      <c r="C90" s="340" t="s">
        <v>126</v>
      </c>
      <c r="D90" s="340" t="s">
        <v>190</v>
      </c>
      <c r="E90" s="333">
        <f>48/67</f>
        <v>0.71641791044776115</v>
      </c>
      <c r="F90" s="333">
        <f>48/67</f>
        <v>0.71641791044776115</v>
      </c>
      <c r="G90" s="329" t="b">
        <v>1</v>
      </c>
      <c r="H90" s="359"/>
      <c r="I90" s="35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s="50" customFormat="1" ht="34.5" customHeight="1" x14ac:dyDescent="0.55000000000000004">
      <c r="A91" s="338"/>
      <c r="B91" s="58" t="s">
        <v>555</v>
      </c>
      <c r="C91" s="340"/>
      <c r="D91" s="340"/>
      <c r="E91" s="333"/>
      <c r="F91" s="333"/>
      <c r="G91" s="329"/>
      <c r="H91" s="359"/>
      <c r="I91" s="35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s="50" customFormat="1" ht="34.5" hidden="1" customHeight="1" x14ac:dyDescent="0.55000000000000004">
      <c r="A92" s="338" t="s">
        <v>197</v>
      </c>
      <c r="B92" s="57" t="s">
        <v>198</v>
      </c>
      <c r="C92" s="340" t="s">
        <v>126</v>
      </c>
      <c r="D92" s="340" t="s">
        <v>190</v>
      </c>
      <c r="E92" s="333" t="s">
        <v>158</v>
      </c>
      <c r="F92" s="333" t="s">
        <v>158</v>
      </c>
      <c r="G92" s="330" t="b">
        <v>1</v>
      </c>
      <c r="H92" s="363"/>
      <c r="I92" s="363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s="50" customFormat="1" ht="34.5" hidden="1" customHeight="1" x14ac:dyDescent="0.55000000000000004">
      <c r="A93" s="338"/>
      <c r="B93" s="58" t="s">
        <v>196</v>
      </c>
      <c r="C93" s="340"/>
      <c r="D93" s="340"/>
      <c r="E93" s="333"/>
      <c r="F93" s="333"/>
      <c r="G93" s="330"/>
      <c r="H93" s="363"/>
      <c r="I93" s="363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s="50" customFormat="1" ht="45" customHeight="1" x14ac:dyDescent="0.55000000000000004">
      <c r="A94" s="115" t="s">
        <v>111</v>
      </c>
      <c r="B94" s="337" t="s">
        <v>121</v>
      </c>
      <c r="C94" s="337"/>
      <c r="D94" s="116" t="s">
        <v>122</v>
      </c>
      <c r="E94" s="116" t="str">
        <f>$E$6</f>
        <v>Meta
2023</v>
      </c>
      <c r="F94" s="116" t="str">
        <f>$F$6</f>
        <v>Meta
2024</v>
      </c>
      <c r="G94" s="257"/>
      <c r="H94" s="76"/>
      <c r="I94" s="76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s="50" customFormat="1" ht="34.5" customHeight="1" x14ac:dyDescent="0.55000000000000004">
      <c r="A95" s="338" t="s">
        <v>199</v>
      </c>
      <c r="B95" s="341" t="s">
        <v>557</v>
      </c>
      <c r="C95" s="341"/>
      <c r="D95" s="340" t="s">
        <v>127</v>
      </c>
      <c r="E95" s="332">
        <v>31.55</v>
      </c>
      <c r="F95" s="332">
        <v>31.55</v>
      </c>
      <c r="G95" s="329" t="b">
        <v>1</v>
      </c>
      <c r="H95" s="360"/>
      <c r="I95" s="360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s="50" customFormat="1" ht="34.5" customHeight="1" x14ac:dyDescent="0.55000000000000004">
      <c r="A96" s="338"/>
      <c r="B96" s="342" t="s">
        <v>558</v>
      </c>
      <c r="C96" s="342"/>
      <c r="D96" s="340"/>
      <c r="E96" s="332"/>
      <c r="F96" s="332"/>
      <c r="G96" s="329"/>
      <c r="H96" s="360"/>
      <c r="I96" s="360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s="50" customFormat="1" ht="45" customHeight="1" x14ac:dyDescent="0.55000000000000004">
      <c r="A97" s="115" t="s">
        <v>112</v>
      </c>
      <c r="B97" s="337" t="s">
        <v>121</v>
      </c>
      <c r="C97" s="337"/>
      <c r="D97" s="116" t="s">
        <v>122</v>
      </c>
      <c r="E97" s="116" t="str">
        <f>$E$6</f>
        <v>Meta
2023</v>
      </c>
      <c r="F97" s="116" t="str">
        <f>$F$6</f>
        <v>Meta
2024</v>
      </c>
      <c r="G97" s="257"/>
      <c r="H97" s="76"/>
      <c r="I97" s="76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s="50" customFormat="1" ht="34.5" customHeight="1" x14ac:dyDescent="0.55000000000000004">
      <c r="A98" s="61" t="s">
        <v>200</v>
      </c>
      <c r="B98" s="340" t="s">
        <v>201</v>
      </c>
      <c r="C98" s="340"/>
      <c r="D98" s="62" t="s">
        <v>127</v>
      </c>
      <c r="E98" s="67">
        <v>19</v>
      </c>
      <c r="F98" s="67">
        <v>19</v>
      </c>
      <c r="G98" s="286" t="b">
        <v>1</v>
      </c>
      <c r="H98" s="289"/>
      <c r="I98" s="28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s="50" customFormat="1" ht="34.5" customHeight="1" x14ac:dyDescent="0.55000000000000004">
      <c r="A99" s="338" t="s">
        <v>202</v>
      </c>
      <c r="B99" s="57" t="s">
        <v>559</v>
      </c>
      <c r="C99" s="339" t="s">
        <v>126</v>
      </c>
      <c r="D99" s="340" t="s">
        <v>139</v>
      </c>
      <c r="E99" s="333">
        <f>165/253</f>
        <v>0.65217391304347827</v>
      </c>
      <c r="F99" s="333">
        <f>165/253</f>
        <v>0.65217391304347827</v>
      </c>
      <c r="G99" s="331" t="b">
        <v>1</v>
      </c>
      <c r="H99" s="359"/>
      <c r="I99" s="35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s="50" customFormat="1" ht="34.5" customHeight="1" x14ac:dyDescent="0.55000000000000004">
      <c r="A100" s="338"/>
      <c r="B100" s="58" t="s">
        <v>560</v>
      </c>
      <c r="C100" s="339"/>
      <c r="D100" s="340"/>
      <c r="E100" s="333"/>
      <c r="F100" s="333"/>
      <c r="G100" s="331"/>
      <c r="H100" s="359"/>
      <c r="I100" s="35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s="50" customFormat="1" ht="45" customHeight="1" x14ac:dyDescent="0.55000000000000004">
      <c r="A101" s="115" t="s">
        <v>113</v>
      </c>
      <c r="B101" s="337" t="s">
        <v>121</v>
      </c>
      <c r="C101" s="337"/>
      <c r="D101" s="116" t="s">
        <v>122</v>
      </c>
      <c r="E101" s="116" t="str">
        <f>$E$6</f>
        <v>Meta
2023</v>
      </c>
      <c r="F101" s="116" t="str">
        <f>$F$6</f>
        <v>Meta
2024</v>
      </c>
      <c r="G101" s="257"/>
      <c r="H101" s="76"/>
      <c r="I101" s="76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s="50" customFormat="1" ht="34.5" customHeight="1" x14ac:dyDescent="0.55000000000000004">
      <c r="A102" s="338" t="s">
        <v>203</v>
      </c>
      <c r="B102" s="57" t="s">
        <v>561</v>
      </c>
      <c r="C102" s="339" t="s">
        <v>126</v>
      </c>
      <c r="D102" s="340" t="s">
        <v>139</v>
      </c>
      <c r="E102" s="333">
        <f>40/50</f>
        <v>0.8</v>
      </c>
      <c r="F102" s="333">
        <f>40/50</f>
        <v>0.8</v>
      </c>
      <c r="G102" s="329" t="b">
        <v>1</v>
      </c>
      <c r="H102" s="359"/>
      <c r="I102" s="35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34.5" customHeight="1" x14ac:dyDescent="0.55000000000000004">
      <c r="A103" s="338"/>
      <c r="B103" s="68" t="s">
        <v>562</v>
      </c>
      <c r="C103" s="339"/>
      <c r="D103" s="340"/>
      <c r="E103" s="333"/>
      <c r="F103" s="333"/>
      <c r="G103" s="329"/>
      <c r="H103" s="359"/>
      <c r="I103" s="359"/>
    </row>
    <row r="104" spans="1:19" ht="34.5" customHeight="1" x14ac:dyDescent="0.55000000000000004">
      <c r="A104" s="338" t="s">
        <v>204</v>
      </c>
      <c r="B104" s="57" t="s">
        <v>563</v>
      </c>
      <c r="C104" s="339" t="s">
        <v>126</v>
      </c>
      <c r="D104" s="340" t="s">
        <v>190</v>
      </c>
      <c r="E104" s="333">
        <f>817/894</f>
        <v>0.91387024608501122</v>
      </c>
      <c r="F104" s="333">
        <f>817/894</f>
        <v>0.91387024608501122</v>
      </c>
      <c r="G104" s="329" t="b">
        <v>1</v>
      </c>
      <c r="H104" s="359"/>
      <c r="I104" s="359"/>
    </row>
    <row r="105" spans="1:19" ht="34.5" customHeight="1" x14ac:dyDescent="0.55000000000000004">
      <c r="A105" s="338"/>
      <c r="B105" s="68" t="s">
        <v>564</v>
      </c>
      <c r="C105" s="339"/>
      <c r="D105" s="340"/>
      <c r="E105" s="333"/>
      <c r="F105" s="333"/>
      <c r="G105" s="329"/>
      <c r="H105" s="359"/>
      <c r="I105" s="359"/>
    </row>
    <row r="106" spans="1:19" ht="21.75" customHeight="1" x14ac:dyDescent="0.55000000000000004"/>
    <row r="107" spans="1:19" x14ac:dyDescent="0.55000000000000004">
      <c r="A107" s="356" t="s">
        <v>205</v>
      </c>
      <c r="B107" s="356"/>
      <c r="C107" s="356"/>
      <c r="D107" s="356"/>
      <c r="E107" s="356"/>
      <c r="F107" s="356"/>
      <c r="G107" s="256"/>
    </row>
    <row r="108" spans="1:19" ht="45" customHeight="1" x14ac:dyDescent="0.55000000000000004">
      <c r="A108" s="357" t="s">
        <v>206</v>
      </c>
      <c r="B108" s="358"/>
      <c r="C108" s="358"/>
      <c r="D108" s="358"/>
      <c r="E108" s="358"/>
      <c r="F108" s="358"/>
      <c r="G108" s="259"/>
    </row>
    <row r="110" spans="1:19" hidden="1" x14ac:dyDescent="0.55000000000000004">
      <c r="A110" s="73" t="s">
        <v>207</v>
      </c>
    </row>
    <row r="111" spans="1:19" hidden="1" x14ac:dyDescent="0.55000000000000004">
      <c r="A111" s="74"/>
    </row>
    <row r="112" spans="1:19" hidden="1" x14ac:dyDescent="0.55000000000000004">
      <c r="A112" s="74"/>
    </row>
    <row r="113" spans="1:1" hidden="1" x14ac:dyDescent="0.55000000000000004">
      <c r="A113" s="74"/>
    </row>
    <row r="114" spans="1:1" hidden="1" x14ac:dyDescent="0.55000000000000004">
      <c r="A114" s="74"/>
    </row>
    <row r="115" spans="1:1" hidden="1" x14ac:dyDescent="0.55000000000000004">
      <c r="A115" s="74"/>
    </row>
    <row r="116" spans="1:1" hidden="1" x14ac:dyDescent="0.55000000000000004">
      <c r="A116" s="74"/>
    </row>
    <row r="117" spans="1:1" hidden="1" x14ac:dyDescent="0.55000000000000004">
      <c r="A117" s="74"/>
    </row>
    <row r="118" spans="1:1" hidden="1" x14ac:dyDescent="0.55000000000000004">
      <c r="A118" s="74"/>
    </row>
    <row r="119" spans="1:1" hidden="1" x14ac:dyDescent="0.55000000000000004">
      <c r="A119" s="74"/>
    </row>
    <row r="120" spans="1:1" hidden="1" x14ac:dyDescent="0.55000000000000004">
      <c r="A120" s="74"/>
    </row>
    <row r="121" spans="1:1" hidden="1" x14ac:dyDescent="0.55000000000000004">
      <c r="A121" s="74"/>
    </row>
    <row r="122" spans="1:1" hidden="1" x14ac:dyDescent="0.55000000000000004">
      <c r="A122" s="74"/>
    </row>
    <row r="123" spans="1:1" hidden="1" x14ac:dyDescent="0.55000000000000004">
      <c r="A123" s="74"/>
    </row>
    <row r="124" spans="1:1" hidden="1" x14ac:dyDescent="0.55000000000000004">
      <c r="A124" s="74"/>
    </row>
    <row r="125" spans="1:1" hidden="1" x14ac:dyDescent="0.55000000000000004">
      <c r="A125" s="74"/>
    </row>
    <row r="126" spans="1:1" hidden="1" x14ac:dyDescent="0.55000000000000004">
      <c r="A126" s="74"/>
    </row>
  </sheetData>
  <protectedRanges>
    <protectedRange algorithmName="SHA-512" hashValue="oBu0U8UHWW1M9CSBiI+2smTKBuiu7zBMJPASzxaVW3/YfTocFsZXqoNbgPAUiXKweXnE/VLNBYi0YQjO9aRFIA==" saltValue="Uwn4xh4BFhDBBJp6oLNp+A==" spinCount="100000" sqref="H4:I1048576 H1:I2" name="Indicadores_1"/>
  </protectedRanges>
  <mergeCells count="344">
    <mergeCell ref="H104:H105"/>
    <mergeCell ref="I104:I105"/>
    <mergeCell ref="H90:H91"/>
    <mergeCell ref="I90:I91"/>
    <mergeCell ref="H92:H93"/>
    <mergeCell ref="I92:I93"/>
    <mergeCell ref="H95:H96"/>
    <mergeCell ref="I95:I96"/>
    <mergeCell ref="H99:H100"/>
    <mergeCell ref="I99:I100"/>
    <mergeCell ref="H102:H103"/>
    <mergeCell ref="I102:I103"/>
    <mergeCell ref="H79:H80"/>
    <mergeCell ref="I79:I80"/>
    <mergeCell ref="H81:H82"/>
    <mergeCell ref="I81:I82"/>
    <mergeCell ref="H83:H84"/>
    <mergeCell ref="I83:I84"/>
    <mergeCell ref="H85:H86"/>
    <mergeCell ref="I85:I86"/>
    <mergeCell ref="H88:H89"/>
    <mergeCell ref="I88:I89"/>
    <mergeCell ref="H67:H68"/>
    <mergeCell ref="I67:I68"/>
    <mergeCell ref="H70:H71"/>
    <mergeCell ref="I70:I71"/>
    <mergeCell ref="H72:H73"/>
    <mergeCell ref="I72:I73"/>
    <mergeCell ref="H74:H75"/>
    <mergeCell ref="I74:I75"/>
    <mergeCell ref="H77:H78"/>
    <mergeCell ref="I77:I78"/>
    <mergeCell ref="H53:H54"/>
    <mergeCell ref="I53:I54"/>
    <mergeCell ref="H57:H58"/>
    <mergeCell ref="I57:I58"/>
    <mergeCell ref="H59:H60"/>
    <mergeCell ref="I59:I60"/>
    <mergeCell ref="H63:H64"/>
    <mergeCell ref="I63:I64"/>
    <mergeCell ref="H65:H66"/>
    <mergeCell ref="I65:I66"/>
    <mergeCell ref="H40:H41"/>
    <mergeCell ref="I40:I41"/>
    <mergeCell ref="H42:H43"/>
    <mergeCell ref="I42:I43"/>
    <mergeCell ref="H44:H45"/>
    <mergeCell ref="I44:I45"/>
    <mergeCell ref="H46:H47"/>
    <mergeCell ref="I46:I47"/>
    <mergeCell ref="H51:H52"/>
    <mergeCell ref="I51:I52"/>
    <mergeCell ref="I28:I29"/>
    <mergeCell ref="I30:I31"/>
    <mergeCell ref="H33:H34"/>
    <mergeCell ref="I33:I34"/>
    <mergeCell ref="H35:H36"/>
    <mergeCell ref="I35:I36"/>
    <mergeCell ref="H37:H38"/>
    <mergeCell ref="I37:I38"/>
    <mergeCell ref="H26:H31"/>
    <mergeCell ref="A107:F107"/>
    <mergeCell ref="A108:F108"/>
    <mergeCell ref="H7:H8"/>
    <mergeCell ref="I7:I8"/>
    <mergeCell ref="H12:H13"/>
    <mergeCell ref="I12:I13"/>
    <mergeCell ref="H14:H15"/>
    <mergeCell ref="I14:I15"/>
    <mergeCell ref="H16:H17"/>
    <mergeCell ref="I16:I17"/>
    <mergeCell ref="I18:I19"/>
    <mergeCell ref="H20:H21"/>
    <mergeCell ref="I20:I21"/>
    <mergeCell ref="H22:H23"/>
    <mergeCell ref="I22:I23"/>
    <mergeCell ref="I24:I25"/>
    <mergeCell ref="I26:I27"/>
    <mergeCell ref="A10:F10"/>
    <mergeCell ref="B11:C11"/>
    <mergeCell ref="A12:A13"/>
    <mergeCell ref="C12:C13"/>
    <mergeCell ref="D12:D13"/>
    <mergeCell ref="F12:F13"/>
    <mergeCell ref="A16:A17"/>
    <mergeCell ref="A5:F5"/>
    <mergeCell ref="B6:C6"/>
    <mergeCell ref="A7:A8"/>
    <mergeCell ref="C7:C8"/>
    <mergeCell ref="D7:D8"/>
    <mergeCell ref="F7:F8"/>
    <mergeCell ref="A14:A15"/>
    <mergeCell ref="C14:C15"/>
    <mergeCell ref="D14:D15"/>
    <mergeCell ref="F14:F15"/>
    <mergeCell ref="D16:D17"/>
    <mergeCell ref="F16:F17"/>
    <mergeCell ref="E16:E17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E67:E68"/>
    <mergeCell ref="E70:E71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E72:E73"/>
    <mergeCell ref="E74:E75"/>
    <mergeCell ref="E77:E78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E79:E80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E99:E100"/>
    <mergeCell ref="E102:E103"/>
    <mergeCell ref="E104:E105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G7:G8"/>
    <mergeCell ref="G12:G13"/>
    <mergeCell ref="G14:G15"/>
    <mergeCell ref="G16:G17"/>
    <mergeCell ref="G18:G19"/>
    <mergeCell ref="G20:G21"/>
    <mergeCell ref="G22:G23"/>
    <mergeCell ref="G24:G25"/>
    <mergeCell ref="E95:E96"/>
    <mergeCell ref="F51:F52"/>
    <mergeCell ref="G46:G47"/>
    <mergeCell ref="G51:G52"/>
    <mergeCell ref="G53:G54"/>
    <mergeCell ref="G63:G64"/>
    <mergeCell ref="G65:G66"/>
    <mergeCell ref="G67:G68"/>
    <mergeCell ref="G70:G71"/>
    <mergeCell ref="G26:G27"/>
    <mergeCell ref="G28:G29"/>
    <mergeCell ref="G30:G31"/>
    <mergeCell ref="G33:G34"/>
    <mergeCell ref="G35:G36"/>
    <mergeCell ref="G37:G38"/>
    <mergeCell ref="G40:G41"/>
    <mergeCell ref="G42:G43"/>
    <mergeCell ref="G44:G45"/>
    <mergeCell ref="G92:G93"/>
    <mergeCell ref="G95:G96"/>
    <mergeCell ref="G99:G100"/>
    <mergeCell ref="G102:G103"/>
    <mergeCell ref="G104:G105"/>
    <mergeCell ref="G72:G73"/>
    <mergeCell ref="G74:G75"/>
    <mergeCell ref="G77:G78"/>
    <mergeCell ref="G79:G80"/>
    <mergeCell ref="G81:G82"/>
    <mergeCell ref="G83:G84"/>
    <mergeCell ref="G85:G86"/>
    <mergeCell ref="G88:G89"/>
    <mergeCell ref="G90:G91"/>
  </mergeCells>
  <phoneticPr fontId="18" type="noConversion"/>
  <conditionalFormatting sqref="F16:F17">
    <cfRule type="cellIs" dxfId="22" priority="6" operator="equal">
      <formula>$I$16</formula>
    </cfRule>
  </conditionalFormatting>
  <conditionalFormatting sqref="F79:F80">
    <cfRule type="cellIs" dxfId="21" priority="3" operator="equal">
      <formula>$I$79</formula>
    </cfRule>
  </conditionalFormatting>
  <conditionalFormatting sqref="F83:F84">
    <cfRule type="cellIs" dxfId="20" priority="2" operator="equal">
      <formula>$I$83</formula>
    </cfRule>
  </conditionalFormatting>
  <conditionalFormatting sqref="F85:F86">
    <cfRule type="cellIs" dxfId="19" priority="1" operator="equal">
      <formula>$I$85</formula>
    </cfRule>
  </conditionalFormatting>
  <pageMargins left="0.51181102362204722" right="0.51181102362204722" top="0.78740157480314965" bottom="0.78740157480314965" header="0.31496062992125984" footer="0.31496062992125984"/>
  <pageSetup paperSize="9" scale="45" fitToHeight="0" orientation="portrait" r:id="rId1"/>
  <rowBreaks count="2" manualBreakCount="2">
    <brk id="61" max="5" man="1"/>
    <brk id="75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tabColor theme="4" tint="0.39997558519241921"/>
    <pageSetUpPr fitToPage="1"/>
  </sheetPr>
  <dimension ref="A1:L147"/>
  <sheetViews>
    <sheetView showGridLines="0" zoomScale="90" zoomScaleNormal="90" zoomScaleSheetLayoutView="80" workbookViewId="0">
      <selection activeCell="A6" sqref="A6:A7"/>
    </sheetView>
  </sheetViews>
  <sheetFormatPr defaultColWidth="9.1796875" defaultRowHeight="26" zeroHeight="1" x14ac:dyDescent="0.6"/>
  <cols>
    <col min="1" max="1" width="28.81640625" style="72" customWidth="1"/>
    <col min="2" max="2" width="10.54296875" style="72" customWidth="1"/>
    <col min="3" max="3" width="41.7265625" style="72" customWidth="1"/>
    <col min="4" max="4" width="59.54296875" style="72" customWidth="1"/>
    <col min="5" max="5" width="46.26953125" style="72" customWidth="1"/>
    <col min="6" max="6" width="20.1796875" style="72" customWidth="1"/>
    <col min="7" max="7" width="84.81640625" style="72" customWidth="1"/>
    <col min="8" max="10" width="20" style="138" customWidth="1"/>
    <col min="11" max="11" width="15" style="145" hidden="1" customWidth="1"/>
    <col min="12" max="12" width="19" style="80" customWidth="1"/>
    <col min="13" max="16384" width="9.1796875" style="80"/>
  </cols>
  <sheetData>
    <row r="1" spans="1:12" ht="51.75" customHeight="1" x14ac:dyDescent="0.6">
      <c r="A1" s="374" t="s">
        <v>208</v>
      </c>
      <c r="B1" s="374"/>
      <c r="C1" s="374"/>
      <c r="D1" s="374"/>
      <c r="E1" s="374"/>
      <c r="F1" s="335"/>
      <c r="G1" s="335"/>
      <c r="H1" s="335"/>
      <c r="I1" s="335"/>
      <c r="J1" s="374"/>
      <c r="K1" s="374"/>
      <c r="L1" s="138"/>
    </row>
    <row r="2" spans="1:12" s="108" customFormat="1" x14ac:dyDescent="0.35">
      <c r="A2" s="356" t="str">
        <f>'Indicadores e Metas'!A2</f>
        <v>CAU/UF:  Conselho de Arquitetura e Urbanismo do Estado de Minas Gerais- CAU/MG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74"/>
    </row>
    <row r="3" spans="1:12" s="108" customFormat="1" x14ac:dyDescent="0.35">
      <c r="A3" s="356" t="s">
        <v>209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274"/>
    </row>
    <row r="4" spans="1:12" s="94" customFormat="1" x14ac:dyDescent="0.6">
      <c r="A4" s="109"/>
      <c r="B4" s="109"/>
      <c r="C4" s="109"/>
      <c r="D4" s="109"/>
      <c r="E4" s="109"/>
      <c r="F4" s="109"/>
      <c r="G4" s="109"/>
      <c r="H4" s="135"/>
      <c r="I4" s="135"/>
      <c r="J4" s="135"/>
      <c r="K4" s="142"/>
      <c r="L4" s="275"/>
    </row>
    <row r="5" spans="1:12" s="108" customFormat="1" x14ac:dyDescent="0.35">
      <c r="A5" s="375" t="s">
        <v>210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274"/>
    </row>
    <row r="6" spans="1:12" s="108" customFormat="1" ht="41.5" customHeight="1" x14ac:dyDescent="0.35">
      <c r="A6" s="299" t="s">
        <v>211</v>
      </c>
      <c r="B6" s="299" t="s">
        <v>212</v>
      </c>
      <c r="C6" s="299" t="s">
        <v>213</v>
      </c>
      <c r="D6" s="299" t="s">
        <v>214</v>
      </c>
      <c r="E6" s="299" t="s">
        <v>215</v>
      </c>
      <c r="F6" s="299" t="s">
        <v>216</v>
      </c>
      <c r="G6" s="299" t="s">
        <v>217</v>
      </c>
      <c r="H6" s="371" t="s">
        <v>218</v>
      </c>
      <c r="I6" s="371" t="s">
        <v>219</v>
      </c>
      <c r="J6" s="299" t="s">
        <v>220</v>
      </c>
      <c r="K6" s="299"/>
      <c r="L6" s="274"/>
    </row>
    <row r="7" spans="1:12" s="108" customFormat="1" ht="31" x14ac:dyDescent="0.35">
      <c r="A7" s="299"/>
      <c r="B7" s="299"/>
      <c r="C7" s="299"/>
      <c r="D7" s="299"/>
      <c r="E7" s="299"/>
      <c r="F7" s="299"/>
      <c r="G7" s="299"/>
      <c r="H7" s="371"/>
      <c r="I7" s="371"/>
      <c r="J7" s="136" t="s">
        <v>221</v>
      </c>
      <c r="K7" s="143" t="s">
        <v>222</v>
      </c>
      <c r="L7" s="274"/>
    </row>
    <row r="8" spans="1:12" s="108" customFormat="1" ht="62" x14ac:dyDescent="0.35">
      <c r="A8" s="235" t="s">
        <v>377</v>
      </c>
      <c r="B8" s="236" t="s">
        <v>331</v>
      </c>
      <c r="C8" s="237" t="s">
        <v>378</v>
      </c>
      <c r="D8" s="273" t="s">
        <v>593</v>
      </c>
      <c r="E8" s="237" t="s">
        <v>103</v>
      </c>
      <c r="F8" s="237" t="s">
        <v>334</v>
      </c>
      <c r="G8" s="237" t="s">
        <v>379</v>
      </c>
      <c r="H8" s="233">
        <v>176592.97999999998</v>
      </c>
      <c r="I8" s="233">
        <v>130377.72</v>
      </c>
      <c r="J8" s="238">
        <f>I8-H8</f>
        <v>-46215.25999999998</v>
      </c>
      <c r="K8" s="239">
        <f>IFERROR(J8/H8,)</f>
        <v>-0.2617049669811336</v>
      </c>
    </row>
    <row r="9" spans="1:12" s="108" customFormat="1" ht="77.5" x14ac:dyDescent="0.35">
      <c r="A9" s="235" t="s">
        <v>380</v>
      </c>
      <c r="B9" s="236" t="s">
        <v>331</v>
      </c>
      <c r="C9" s="237" t="s">
        <v>381</v>
      </c>
      <c r="D9" s="273" t="s">
        <v>594</v>
      </c>
      <c r="E9" s="237" t="s">
        <v>107</v>
      </c>
      <c r="F9" s="237" t="s">
        <v>366</v>
      </c>
      <c r="G9" s="237" t="s">
        <v>382</v>
      </c>
      <c r="H9" s="233">
        <v>58874.39</v>
      </c>
      <c r="I9" s="233">
        <v>210661.01</v>
      </c>
      <c r="J9" s="238">
        <f t="shared" ref="J9:J55" si="0">I9-H9</f>
        <v>151786.62</v>
      </c>
      <c r="K9" s="239">
        <f t="shared" ref="K9:K55" si="1">IFERROR(J9/H9,)</f>
        <v>2.5781433998721686</v>
      </c>
    </row>
    <row r="10" spans="1:12" s="108" customFormat="1" ht="62" x14ac:dyDescent="0.35">
      <c r="A10" s="235" t="s">
        <v>383</v>
      </c>
      <c r="B10" s="236" t="s">
        <v>331</v>
      </c>
      <c r="C10" s="237" t="s">
        <v>384</v>
      </c>
      <c r="D10" s="273" t="s">
        <v>595</v>
      </c>
      <c r="E10" s="237" t="s">
        <v>101</v>
      </c>
      <c r="F10" s="237" t="s">
        <v>356</v>
      </c>
      <c r="G10" s="237" t="s">
        <v>385</v>
      </c>
      <c r="H10" s="233">
        <v>254819.21000000002</v>
      </c>
      <c r="I10" s="233">
        <v>210661.01</v>
      </c>
      <c r="J10" s="238">
        <f t="shared" si="0"/>
        <v>-44158.200000000012</v>
      </c>
      <c r="K10" s="239">
        <f t="shared" si="1"/>
        <v>-0.17329227258808316</v>
      </c>
    </row>
    <row r="11" spans="1:12" s="108" customFormat="1" ht="62" x14ac:dyDescent="0.35">
      <c r="A11" s="235" t="s">
        <v>386</v>
      </c>
      <c r="B11" s="236" t="s">
        <v>331</v>
      </c>
      <c r="C11" s="237" t="s">
        <v>387</v>
      </c>
      <c r="D11" s="273" t="s">
        <v>596</v>
      </c>
      <c r="E11" s="237" t="s">
        <v>109</v>
      </c>
      <c r="F11" s="237" t="s">
        <v>366</v>
      </c>
      <c r="G11" s="237" t="s">
        <v>388</v>
      </c>
      <c r="H11" s="233">
        <v>78739.05</v>
      </c>
      <c r="I11" s="233">
        <v>90283.29</v>
      </c>
      <c r="J11" s="238">
        <f t="shared" si="0"/>
        <v>11544.239999999991</v>
      </c>
      <c r="K11" s="239">
        <f t="shared" si="1"/>
        <v>0.14661391012464578</v>
      </c>
    </row>
    <row r="12" spans="1:12" s="108" customFormat="1" ht="62" x14ac:dyDescent="0.35">
      <c r="A12" s="235" t="s">
        <v>389</v>
      </c>
      <c r="B12" s="236" t="s">
        <v>331</v>
      </c>
      <c r="C12" s="237" t="s">
        <v>578</v>
      </c>
      <c r="D12" s="273" t="s">
        <v>597</v>
      </c>
      <c r="E12" s="237" t="s">
        <v>99</v>
      </c>
      <c r="F12" s="237" t="s">
        <v>366</v>
      </c>
      <c r="G12" s="237" t="s">
        <v>390</v>
      </c>
      <c r="H12" s="233">
        <v>107374.83</v>
      </c>
      <c r="I12" s="233">
        <v>90283.29</v>
      </c>
      <c r="J12" s="238">
        <f t="shared" si="0"/>
        <v>-17091.540000000008</v>
      </c>
      <c r="K12" s="239">
        <f t="shared" si="1"/>
        <v>-0.15917641033750654</v>
      </c>
    </row>
    <row r="13" spans="1:12" s="108" customFormat="1" ht="93" x14ac:dyDescent="0.35">
      <c r="A13" s="235" t="s">
        <v>391</v>
      </c>
      <c r="B13" s="236" t="s">
        <v>331</v>
      </c>
      <c r="C13" s="237" t="s">
        <v>506</v>
      </c>
      <c r="D13" s="273" t="s">
        <v>598</v>
      </c>
      <c r="E13" s="237" t="s">
        <v>104</v>
      </c>
      <c r="F13" s="237" t="s">
        <v>356</v>
      </c>
      <c r="G13" s="237" t="s">
        <v>392</v>
      </c>
      <c r="H13" s="233">
        <v>47472.29</v>
      </c>
      <c r="I13" s="233">
        <v>30094.43</v>
      </c>
      <c r="J13" s="238">
        <f t="shared" si="0"/>
        <v>-17377.86</v>
      </c>
      <c r="K13" s="239">
        <f t="shared" si="1"/>
        <v>-0.36606323394131607</v>
      </c>
    </row>
    <row r="14" spans="1:12" s="108" customFormat="1" ht="77.5" x14ac:dyDescent="0.35">
      <c r="A14" s="235" t="s">
        <v>393</v>
      </c>
      <c r="B14" s="236" t="s">
        <v>331</v>
      </c>
      <c r="C14" s="237" t="s">
        <v>507</v>
      </c>
      <c r="D14" s="273" t="s">
        <v>599</v>
      </c>
      <c r="E14" s="237" t="s">
        <v>108</v>
      </c>
      <c r="F14" s="237" t="s">
        <v>356</v>
      </c>
      <c r="G14" s="237" t="s">
        <v>394</v>
      </c>
      <c r="H14" s="233">
        <v>52156.9</v>
      </c>
      <c r="I14" s="233">
        <v>30094.43</v>
      </c>
      <c r="J14" s="238">
        <f t="shared" si="0"/>
        <v>-22062.47</v>
      </c>
      <c r="K14" s="239">
        <f t="shared" si="1"/>
        <v>-0.42300194221665782</v>
      </c>
    </row>
    <row r="15" spans="1:12" s="108" customFormat="1" ht="77.5" x14ac:dyDescent="0.35">
      <c r="A15" s="235" t="s">
        <v>395</v>
      </c>
      <c r="B15" s="236" t="s">
        <v>331</v>
      </c>
      <c r="C15" s="237" t="s">
        <v>508</v>
      </c>
      <c r="D15" s="273" t="s">
        <v>600</v>
      </c>
      <c r="E15" s="237" t="s">
        <v>105</v>
      </c>
      <c r="F15" s="237" t="s">
        <v>356</v>
      </c>
      <c r="G15" s="237" t="s">
        <v>396</v>
      </c>
      <c r="H15" s="233">
        <v>70953.180000000008</v>
      </c>
      <c r="I15" s="233">
        <v>30094.43</v>
      </c>
      <c r="J15" s="238">
        <f t="shared" si="0"/>
        <v>-40858.750000000007</v>
      </c>
      <c r="K15" s="239">
        <f t="shared" si="1"/>
        <v>-0.57585509204802388</v>
      </c>
    </row>
    <row r="16" spans="1:12" s="108" customFormat="1" ht="46.5" x14ac:dyDescent="0.35">
      <c r="A16" s="235" t="s">
        <v>397</v>
      </c>
      <c r="B16" s="236" t="s">
        <v>331</v>
      </c>
      <c r="C16" s="237" t="s">
        <v>398</v>
      </c>
      <c r="D16" s="237" t="s">
        <v>399</v>
      </c>
      <c r="E16" s="237" t="s">
        <v>112</v>
      </c>
      <c r="F16" s="237" t="s">
        <v>366</v>
      </c>
      <c r="G16" s="237" t="s">
        <v>400</v>
      </c>
      <c r="H16" s="233">
        <v>188569.41999999998</v>
      </c>
      <c r="I16" s="233">
        <v>120000</v>
      </c>
      <c r="J16" s="238">
        <f t="shared" si="0"/>
        <v>-68569.419999999984</v>
      </c>
      <c r="K16" s="239">
        <f t="shared" si="1"/>
        <v>-0.3636295853272497</v>
      </c>
    </row>
    <row r="17" spans="1:11" s="108" customFormat="1" ht="46.5" x14ac:dyDescent="0.35">
      <c r="A17" s="235" t="s">
        <v>397</v>
      </c>
      <c r="B17" s="236" t="s">
        <v>331</v>
      </c>
      <c r="C17" s="237" t="s">
        <v>401</v>
      </c>
      <c r="D17" s="237" t="s">
        <v>402</v>
      </c>
      <c r="E17" s="237" t="s">
        <v>99</v>
      </c>
      <c r="F17" s="237" t="s">
        <v>366</v>
      </c>
      <c r="G17" s="237" t="s">
        <v>403</v>
      </c>
      <c r="H17" s="233">
        <v>7500</v>
      </c>
      <c r="I17" s="233">
        <v>0</v>
      </c>
      <c r="J17" s="238">
        <f t="shared" si="0"/>
        <v>-7500</v>
      </c>
      <c r="K17" s="239">
        <f t="shared" si="1"/>
        <v>-1</v>
      </c>
    </row>
    <row r="18" spans="1:11" s="108" customFormat="1" ht="31" x14ac:dyDescent="0.35">
      <c r="A18" s="235" t="s">
        <v>397</v>
      </c>
      <c r="B18" s="236" t="s">
        <v>63</v>
      </c>
      <c r="C18" s="237" t="s">
        <v>404</v>
      </c>
      <c r="D18" s="237" t="s">
        <v>405</v>
      </c>
      <c r="E18" s="237" t="s">
        <v>105</v>
      </c>
      <c r="F18" s="237" t="s">
        <v>368</v>
      </c>
      <c r="G18" s="237" t="s">
        <v>406</v>
      </c>
      <c r="H18" s="233">
        <v>350000</v>
      </c>
      <c r="I18" s="233">
        <v>250000</v>
      </c>
      <c r="J18" s="238">
        <f t="shared" si="0"/>
        <v>-100000</v>
      </c>
      <c r="K18" s="239">
        <f t="shared" si="1"/>
        <v>-0.2857142857142857</v>
      </c>
    </row>
    <row r="19" spans="1:11" s="108" customFormat="1" ht="46.5" x14ac:dyDescent="0.35">
      <c r="A19" s="235" t="s">
        <v>397</v>
      </c>
      <c r="B19" s="236" t="s">
        <v>63</v>
      </c>
      <c r="C19" s="237" t="s">
        <v>509</v>
      </c>
      <c r="D19" s="237" t="s">
        <v>407</v>
      </c>
      <c r="E19" s="237" t="s">
        <v>97</v>
      </c>
      <c r="F19" s="237" t="s">
        <v>356</v>
      </c>
      <c r="G19" s="237" t="s">
        <v>408</v>
      </c>
      <c r="H19" s="233">
        <v>150000</v>
      </c>
      <c r="I19" s="233">
        <v>100000</v>
      </c>
      <c r="J19" s="238">
        <f t="shared" si="0"/>
        <v>-50000</v>
      </c>
      <c r="K19" s="239">
        <f t="shared" si="1"/>
        <v>-0.33333333333333331</v>
      </c>
    </row>
    <row r="20" spans="1:11" s="108" customFormat="1" ht="46.5" x14ac:dyDescent="0.35">
      <c r="A20" s="235" t="s">
        <v>397</v>
      </c>
      <c r="B20" s="236" t="s">
        <v>63</v>
      </c>
      <c r="C20" s="237" t="s">
        <v>409</v>
      </c>
      <c r="D20" s="237" t="s">
        <v>410</v>
      </c>
      <c r="E20" s="237" t="s">
        <v>97</v>
      </c>
      <c r="F20" s="237" t="s">
        <v>368</v>
      </c>
      <c r="G20" s="237" t="s">
        <v>411</v>
      </c>
      <c r="H20" s="233">
        <v>45000</v>
      </c>
      <c r="I20" s="233">
        <v>0</v>
      </c>
      <c r="J20" s="238">
        <f t="shared" si="0"/>
        <v>-45000</v>
      </c>
      <c r="K20" s="239">
        <f t="shared" si="1"/>
        <v>-1</v>
      </c>
    </row>
    <row r="21" spans="1:11" s="108" customFormat="1" ht="46.5" x14ac:dyDescent="0.35">
      <c r="A21" s="235" t="s">
        <v>397</v>
      </c>
      <c r="B21" s="236" t="s">
        <v>328</v>
      </c>
      <c r="C21" s="237" t="s">
        <v>412</v>
      </c>
      <c r="D21" s="237" t="s">
        <v>413</v>
      </c>
      <c r="E21" s="237" t="s">
        <v>108</v>
      </c>
      <c r="F21" s="237" t="s">
        <v>356</v>
      </c>
      <c r="G21" s="237" t="s">
        <v>406</v>
      </c>
      <c r="H21" s="233">
        <v>500000</v>
      </c>
      <c r="I21" s="233">
        <v>500000</v>
      </c>
      <c r="J21" s="238">
        <f t="shared" si="0"/>
        <v>0</v>
      </c>
      <c r="K21" s="239">
        <f t="shared" si="1"/>
        <v>0</v>
      </c>
    </row>
    <row r="22" spans="1:11" s="108" customFormat="1" ht="46.5" x14ac:dyDescent="0.35">
      <c r="A22" s="235" t="s">
        <v>397</v>
      </c>
      <c r="B22" s="236" t="s">
        <v>328</v>
      </c>
      <c r="C22" s="237" t="s">
        <v>496</v>
      </c>
      <c r="D22" s="237" t="s">
        <v>414</v>
      </c>
      <c r="E22" s="237" t="s">
        <v>105</v>
      </c>
      <c r="F22" s="237" t="s">
        <v>356</v>
      </c>
      <c r="G22" s="237" t="s">
        <v>415</v>
      </c>
      <c r="H22" s="233">
        <v>12473.04</v>
      </c>
      <c r="I22" s="233">
        <v>30000</v>
      </c>
      <c r="J22" s="238">
        <f t="shared" si="0"/>
        <v>17526.96</v>
      </c>
      <c r="K22" s="239">
        <f t="shared" si="1"/>
        <v>1.4051875084181562</v>
      </c>
    </row>
    <row r="23" spans="1:11" s="108" customFormat="1" ht="46.5" x14ac:dyDescent="0.35">
      <c r="A23" s="235" t="s">
        <v>397</v>
      </c>
      <c r="B23" s="236" t="s">
        <v>328</v>
      </c>
      <c r="C23" s="237" t="s">
        <v>416</v>
      </c>
      <c r="D23" s="237" t="s">
        <v>417</v>
      </c>
      <c r="E23" s="237" t="s">
        <v>107</v>
      </c>
      <c r="F23" s="237" t="s">
        <v>366</v>
      </c>
      <c r="G23" s="237" t="s">
        <v>418</v>
      </c>
      <c r="H23" s="233">
        <v>7500</v>
      </c>
      <c r="I23" s="233">
        <v>0</v>
      </c>
      <c r="J23" s="238">
        <f t="shared" si="0"/>
        <v>-7500</v>
      </c>
      <c r="K23" s="239">
        <f t="shared" si="1"/>
        <v>-1</v>
      </c>
    </row>
    <row r="24" spans="1:11" s="108" customFormat="1" ht="62" x14ac:dyDescent="0.35">
      <c r="A24" s="235" t="s">
        <v>397</v>
      </c>
      <c r="B24" s="236" t="s">
        <v>331</v>
      </c>
      <c r="C24" s="237" t="s">
        <v>419</v>
      </c>
      <c r="D24" s="237" t="s">
        <v>420</v>
      </c>
      <c r="E24" s="237" t="s">
        <v>111</v>
      </c>
      <c r="F24" s="237" t="s">
        <v>349</v>
      </c>
      <c r="G24" s="237" t="s">
        <v>421</v>
      </c>
      <c r="H24" s="233">
        <v>241073.36</v>
      </c>
      <c r="I24" s="233">
        <v>159416.20000000001</v>
      </c>
      <c r="J24" s="238">
        <f t="shared" si="0"/>
        <v>-81657.159999999974</v>
      </c>
      <c r="K24" s="239">
        <f t="shared" si="1"/>
        <v>-0.33872328323627288</v>
      </c>
    </row>
    <row r="25" spans="1:11" s="108" customFormat="1" ht="46.5" x14ac:dyDescent="0.35">
      <c r="A25" s="235" t="s">
        <v>397</v>
      </c>
      <c r="B25" s="236" t="s">
        <v>331</v>
      </c>
      <c r="C25" s="237" t="s">
        <v>422</v>
      </c>
      <c r="D25" s="237" t="s">
        <v>152</v>
      </c>
      <c r="E25" s="237" t="s">
        <v>102</v>
      </c>
      <c r="F25" s="237" t="s">
        <v>366</v>
      </c>
      <c r="G25" s="237" t="s">
        <v>423</v>
      </c>
      <c r="H25" s="233">
        <v>246061.22999999998</v>
      </c>
      <c r="I25" s="233">
        <v>316239.49</v>
      </c>
      <c r="J25" s="238">
        <f t="shared" si="0"/>
        <v>70178.260000000009</v>
      </c>
      <c r="K25" s="239">
        <f t="shared" si="1"/>
        <v>0.28520649108354051</v>
      </c>
    </row>
    <row r="26" spans="1:11" s="108" customFormat="1" ht="31" x14ac:dyDescent="0.35">
      <c r="A26" s="235" t="s">
        <v>424</v>
      </c>
      <c r="B26" s="236" t="s">
        <v>331</v>
      </c>
      <c r="C26" s="237" t="s">
        <v>585</v>
      </c>
      <c r="D26" s="237" t="s">
        <v>425</v>
      </c>
      <c r="E26" s="237" t="s">
        <v>106</v>
      </c>
      <c r="F26" s="237" t="s">
        <v>366</v>
      </c>
      <c r="G26" s="237" t="s">
        <v>426</v>
      </c>
      <c r="H26" s="233">
        <v>693446.65</v>
      </c>
      <c r="I26" s="233">
        <v>754807.32000000007</v>
      </c>
      <c r="J26" s="238">
        <f t="shared" si="0"/>
        <v>61360.670000000042</v>
      </c>
      <c r="K26" s="239">
        <f t="shared" si="1"/>
        <v>8.8486504333101956E-2</v>
      </c>
    </row>
    <row r="27" spans="1:11" s="108" customFormat="1" ht="31" x14ac:dyDescent="0.35">
      <c r="A27" s="235" t="s">
        <v>427</v>
      </c>
      <c r="B27" s="236" t="s">
        <v>331</v>
      </c>
      <c r="C27" s="237" t="s">
        <v>428</v>
      </c>
      <c r="D27" s="237" t="s">
        <v>429</v>
      </c>
      <c r="E27" s="237" t="s">
        <v>106</v>
      </c>
      <c r="F27" s="237" t="s">
        <v>368</v>
      </c>
      <c r="G27" s="237" t="s">
        <v>430</v>
      </c>
      <c r="H27" s="233">
        <v>344632.63</v>
      </c>
      <c r="I27" s="233">
        <v>449772.36</v>
      </c>
      <c r="J27" s="238">
        <f t="shared" si="0"/>
        <v>105139.72999999998</v>
      </c>
      <c r="K27" s="239">
        <f t="shared" si="1"/>
        <v>0.3050776996943092</v>
      </c>
    </row>
    <row r="28" spans="1:11" s="108" customFormat="1" ht="31" x14ac:dyDescent="0.35">
      <c r="A28" s="235" t="s">
        <v>427</v>
      </c>
      <c r="B28" s="236" t="s">
        <v>331</v>
      </c>
      <c r="C28" s="237" t="s">
        <v>586</v>
      </c>
      <c r="D28" s="237" t="s">
        <v>431</v>
      </c>
      <c r="E28" s="237" t="s">
        <v>112</v>
      </c>
      <c r="F28" s="237" t="s">
        <v>338</v>
      </c>
      <c r="G28" s="237" t="s">
        <v>432</v>
      </c>
      <c r="H28" s="233">
        <v>1889499.71</v>
      </c>
      <c r="I28" s="233">
        <v>580443.29</v>
      </c>
      <c r="J28" s="238">
        <f t="shared" si="0"/>
        <v>-1309056.42</v>
      </c>
      <c r="K28" s="239">
        <f t="shared" si="1"/>
        <v>-0.6928058327143114</v>
      </c>
    </row>
    <row r="29" spans="1:11" s="108" customFormat="1" ht="46.5" x14ac:dyDescent="0.35">
      <c r="A29" s="235" t="s">
        <v>427</v>
      </c>
      <c r="B29" s="236" t="s">
        <v>63</v>
      </c>
      <c r="C29" s="237" t="s">
        <v>433</v>
      </c>
      <c r="D29" s="237" t="s">
        <v>434</v>
      </c>
      <c r="E29" s="237" t="s">
        <v>113</v>
      </c>
      <c r="F29" s="237" t="s">
        <v>366</v>
      </c>
      <c r="G29" s="237" t="s">
        <v>435</v>
      </c>
      <c r="H29" s="233">
        <v>605000</v>
      </c>
      <c r="I29" s="233">
        <v>400000</v>
      </c>
      <c r="J29" s="238">
        <f t="shared" si="0"/>
        <v>-205000</v>
      </c>
      <c r="K29" s="239">
        <f t="shared" si="1"/>
        <v>-0.33884297520661155</v>
      </c>
    </row>
    <row r="30" spans="1:11" s="108" customFormat="1" ht="31" x14ac:dyDescent="0.35">
      <c r="A30" s="235" t="s">
        <v>436</v>
      </c>
      <c r="B30" s="236" t="s">
        <v>331</v>
      </c>
      <c r="C30" s="237" t="s">
        <v>587</v>
      </c>
      <c r="D30" s="237" t="s">
        <v>437</v>
      </c>
      <c r="E30" s="237" t="s">
        <v>99</v>
      </c>
      <c r="F30" s="237" t="s">
        <v>366</v>
      </c>
      <c r="G30" s="237" t="s">
        <v>438</v>
      </c>
      <c r="H30" s="233">
        <v>608068.88</v>
      </c>
      <c r="I30" s="233">
        <v>652075.49</v>
      </c>
      <c r="J30" s="238">
        <f t="shared" si="0"/>
        <v>44006.609999999986</v>
      </c>
      <c r="K30" s="239">
        <f t="shared" si="1"/>
        <v>7.2371093880022247E-2</v>
      </c>
    </row>
    <row r="31" spans="1:11" s="108" customFormat="1" ht="46.5" x14ac:dyDescent="0.35">
      <c r="A31" s="235" t="s">
        <v>439</v>
      </c>
      <c r="B31" s="236" t="s">
        <v>331</v>
      </c>
      <c r="C31" s="237" t="s">
        <v>440</v>
      </c>
      <c r="D31" s="237" t="s">
        <v>441</v>
      </c>
      <c r="E31" s="237" t="s">
        <v>101</v>
      </c>
      <c r="F31" s="237" t="s">
        <v>356</v>
      </c>
      <c r="G31" s="237" t="s">
        <v>442</v>
      </c>
      <c r="H31" s="233">
        <v>1722543.4899999998</v>
      </c>
      <c r="I31" s="233">
        <v>1901086.27</v>
      </c>
      <c r="J31" s="238">
        <f t="shared" si="0"/>
        <v>178542.78000000026</v>
      </c>
      <c r="K31" s="239">
        <f t="shared" si="1"/>
        <v>0.10365066602759637</v>
      </c>
    </row>
    <row r="32" spans="1:11" s="108" customFormat="1" ht="46.5" x14ac:dyDescent="0.35">
      <c r="A32" s="235" t="s">
        <v>443</v>
      </c>
      <c r="B32" s="236" t="s">
        <v>328</v>
      </c>
      <c r="C32" s="237" t="s">
        <v>444</v>
      </c>
      <c r="D32" s="237" t="s">
        <v>445</v>
      </c>
      <c r="E32" s="237" t="s">
        <v>101</v>
      </c>
      <c r="F32" s="237" t="s">
        <v>356</v>
      </c>
      <c r="G32" s="237" t="s">
        <v>446</v>
      </c>
      <c r="H32" s="233">
        <v>240634.7</v>
      </c>
      <c r="I32" s="233">
        <v>215000</v>
      </c>
      <c r="J32" s="238">
        <f t="shared" si="0"/>
        <v>-25634.700000000012</v>
      </c>
      <c r="K32" s="239">
        <f t="shared" si="1"/>
        <v>-0.10652952379685893</v>
      </c>
    </row>
    <row r="33" spans="1:12" s="108" customFormat="1" ht="46.5" x14ac:dyDescent="0.35">
      <c r="A33" s="235" t="s">
        <v>447</v>
      </c>
      <c r="B33" s="236" t="s">
        <v>331</v>
      </c>
      <c r="C33" s="237" t="s">
        <v>510</v>
      </c>
      <c r="D33" s="237" t="s">
        <v>441</v>
      </c>
      <c r="E33" s="237" t="s">
        <v>101</v>
      </c>
      <c r="F33" s="237" t="s">
        <v>356</v>
      </c>
      <c r="G33" s="237" t="s">
        <v>448</v>
      </c>
      <c r="H33" s="233">
        <v>824524.99</v>
      </c>
      <c r="I33" s="233">
        <v>1071282.72</v>
      </c>
      <c r="J33" s="238">
        <f t="shared" si="0"/>
        <v>246757.72999999998</v>
      </c>
      <c r="K33" s="239">
        <f t="shared" si="1"/>
        <v>0.29927259087683927</v>
      </c>
      <c r="L33" s="276">
        <f>'Diretrizes - Resumo'!AL3</f>
        <v>1071282.72</v>
      </c>
    </row>
    <row r="34" spans="1:12" s="108" customFormat="1" ht="46.5" x14ac:dyDescent="0.35">
      <c r="A34" s="235" t="s">
        <v>449</v>
      </c>
      <c r="B34" s="236" t="s">
        <v>331</v>
      </c>
      <c r="C34" s="237" t="s">
        <v>450</v>
      </c>
      <c r="D34" s="237" t="s">
        <v>451</v>
      </c>
      <c r="E34" s="237" t="s">
        <v>102</v>
      </c>
      <c r="F34" s="237" t="s">
        <v>356</v>
      </c>
      <c r="G34" s="237" t="s">
        <v>452</v>
      </c>
      <c r="H34" s="233">
        <v>2447683.75</v>
      </c>
      <c r="I34" s="233">
        <v>2590978.67</v>
      </c>
      <c r="J34" s="238">
        <f t="shared" si="0"/>
        <v>143294.91999999993</v>
      </c>
      <c r="K34" s="239">
        <f t="shared" si="1"/>
        <v>5.8543069544829851E-2</v>
      </c>
    </row>
    <row r="35" spans="1:12" s="108" customFormat="1" ht="46.5" x14ac:dyDescent="0.35">
      <c r="A35" s="235" t="s">
        <v>453</v>
      </c>
      <c r="B35" s="236" t="s">
        <v>331</v>
      </c>
      <c r="C35" s="237" t="s">
        <v>511</v>
      </c>
      <c r="D35" s="237" t="s">
        <v>454</v>
      </c>
      <c r="E35" s="237" t="s">
        <v>102</v>
      </c>
      <c r="F35" s="237" t="s">
        <v>366</v>
      </c>
      <c r="G35" s="237" t="s">
        <v>448</v>
      </c>
      <c r="H35" s="233">
        <v>120307.25</v>
      </c>
      <c r="I35" s="233">
        <v>139896.03</v>
      </c>
      <c r="J35" s="238">
        <f t="shared" si="0"/>
        <v>19588.78</v>
      </c>
      <c r="K35" s="239">
        <f t="shared" si="1"/>
        <v>0.16282293876719814</v>
      </c>
      <c r="L35" s="276">
        <f>'Diretrizes - Resumo'!AL4</f>
        <v>139896.03</v>
      </c>
    </row>
    <row r="36" spans="1:12" s="108" customFormat="1" ht="31" x14ac:dyDescent="0.35">
      <c r="A36" s="235" t="s">
        <v>455</v>
      </c>
      <c r="B36" s="236" t="s">
        <v>331</v>
      </c>
      <c r="C36" s="237" t="s">
        <v>456</v>
      </c>
      <c r="D36" s="237" t="s">
        <v>457</v>
      </c>
      <c r="E36" s="237" t="s">
        <v>99</v>
      </c>
      <c r="F36" s="237" t="s">
        <v>366</v>
      </c>
      <c r="G36" s="237" t="s">
        <v>458</v>
      </c>
      <c r="H36" s="233">
        <v>1026287.22</v>
      </c>
      <c r="I36" s="233">
        <v>998509.5</v>
      </c>
      <c r="J36" s="238">
        <f t="shared" si="0"/>
        <v>-27777.719999999972</v>
      </c>
      <c r="K36" s="239">
        <f t="shared" si="1"/>
        <v>-2.7066224209632048E-2</v>
      </c>
    </row>
    <row r="37" spans="1:12" s="108" customFormat="1" ht="31" x14ac:dyDescent="0.35">
      <c r="A37" s="235" t="s">
        <v>459</v>
      </c>
      <c r="B37" s="236" t="s">
        <v>331</v>
      </c>
      <c r="C37" s="237" t="s">
        <v>460</v>
      </c>
      <c r="D37" s="237" t="s">
        <v>461</v>
      </c>
      <c r="E37" s="237" t="s">
        <v>109</v>
      </c>
      <c r="F37" s="237" t="s">
        <v>366</v>
      </c>
      <c r="G37" s="237" t="s">
        <v>462</v>
      </c>
      <c r="H37" s="233">
        <v>177637.15</v>
      </c>
      <c r="I37" s="233">
        <v>256850.45</v>
      </c>
      <c r="J37" s="238">
        <f t="shared" si="0"/>
        <v>79213.300000000017</v>
      </c>
      <c r="K37" s="239">
        <f t="shared" si="1"/>
        <v>0.44592755513134508</v>
      </c>
      <c r="L37" s="276">
        <f>'Diretrizes - Resumo'!AL5</f>
        <v>256850.45</v>
      </c>
    </row>
    <row r="38" spans="1:12" s="108" customFormat="1" ht="31" x14ac:dyDescent="0.35">
      <c r="A38" s="235" t="s">
        <v>459</v>
      </c>
      <c r="B38" s="236" t="s">
        <v>331</v>
      </c>
      <c r="C38" s="237" t="s">
        <v>463</v>
      </c>
      <c r="D38" s="237" t="s">
        <v>464</v>
      </c>
      <c r="E38" s="237" t="s">
        <v>109</v>
      </c>
      <c r="F38" s="237" t="s">
        <v>366</v>
      </c>
      <c r="G38" s="237" t="s">
        <v>465</v>
      </c>
      <c r="H38" s="233">
        <v>60000</v>
      </c>
      <c r="I38" s="233">
        <v>60000</v>
      </c>
      <c r="J38" s="238">
        <f t="shared" si="0"/>
        <v>0</v>
      </c>
      <c r="K38" s="239">
        <f t="shared" si="1"/>
        <v>0</v>
      </c>
    </row>
    <row r="39" spans="1:12" s="108" customFormat="1" ht="46.5" x14ac:dyDescent="0.35">
      <c r="A39" s="235" t="s">
        <v>459</v>
      </c>
      <c r="B39" s="236" t="s">
        <v>331</v>
      </c>
      <c r="C39" s="237" t="s">
        <v>512</v>
      </c>
      <c r="D39" s="237" t="s">
        <v>466</v>
      </c>
      <c r="E39" s="237" t="s">
        <v>109</v>
      </c>
      <c r="F39" s="237" t="s">
        <v>366</v>
      </c>
      <c r="G39" s="237" t="s">
        <v>467</v>
      </c>
      <c r="H39" s="233">
        <v>2843867.05</v>
      </c>
      <c r="I39" s="233">
        <v>2835848.21</v>
      </c>
      <c r="J39" s="238">
        <f t="shared" si="0"/>
        <v>-8018.839999999851</v>
      </c>
      <c r="K39" s="239">
        <f t="shared" si="1"/>
        <v>-2.8196958082129233E-3</v>
      </c>
    </row>
    <row r="40" spans="1:12" s="108" customFormat="1" ht="77.5" x14ac:dyDescent="0.35">
      <c r="A40" s="235" t="s">
        <v>468</v>
      </c>
      <c r="B40" s="236" t="s">
        <v>331</v>
      </c>
      <c r="C40" s="240" t="s">
        <v>577</v>
      </c>
      <c r="D40" s="240" t="s">
        <v>514</v>
      </c>
      <c r="E40" s="237" t="s">
        <v>99</v>
      </c>
      <c r="F40" s="237" t="s">
        <v>368</v>
      </c>
      <c r="G40" s="237" t="s">
        <v>469</v>
      </c>
      <c r="H40" s="233">
        <v>382137.23</v>
      </c>
      <c r="I40" s="233">
        <v>412614.24</v>
      </c>
      <c r="J40" s="238">
        <f t="shared" si="0"/>
        <v>30477.010000000009</v>
      </c>
      <c r="K40" s="239">
        <f t="shared" si="1"/>
        <v>7.9754097762209694E-2</v>
      </c>
    </row>
    <row r="41" spans="1:12" s="108" customFormat="1" ht="46.5" x14ac:dyDescent="0.35">
      <c r="A41" s="235" t="s">
        <v>470</v>
      </c>
      <c r="B41" s="236" t="s">
        <v>331</v>
      </c>
      <c r="C41" s="237" t="s">
        <v>579</v>
      </c>
      <c r="D41" s="237" t="s">
        <v>471</v>
      </c>
      <c r="E41" s="237" t="s">
        <v>102</v>
      </c>
      <c r="F41" s="237" t="s">
        <v>356</v>
      </c>
      <c r="G41" s="237" t="s">
        <v>472</v>
      </c>
      <c r="H41" s="233">
        <v>162436.72</v>
      </c>
      <c r="I41" s="233">
        <v>166533.22999999998</v>
      </c>
      <c r="J41" s="238">
        <f t="shared" si="0"/>
        <v>4096.5099999999802</v>
      </c>
      <c r="K41" s="239">
        <f t="shared" si="1"/>
        <v>2.5219113018287862E-2</v>
      </c>
    </row>
    <row r="42" spans="1:12" s="108" customFormat="1" ht="46.5" x14ac:dyDescent="0.35">
      <c r="A42" s="235" t="s">
        <v>473</v>
      </c>
      <c r="B42" s="236" t="s">
        <v>331</v>
      </c>
      <c r="C42" s="237" t="s">
        <v>580</v>
      </c>
      <c r="D42" s="237" t="s">
        <v>474</v>
      </c>
      <c r="E42" s="237" t="s">
        <v>102</v>
      </c>
      <c r="F42" s="237" t="s">
        <v>356</v>
      </c>
      <c r="G42" s="237" t="s">
        <v>472</v>
      </c>
      <c r="H42" s="233">
        <v>175513.4</v>
      </c>
      <c r="I42" s="233">
        <v>215363.76</v>
      </c>
      <c r="J42" s="238">
        <f t="shared" si="0"/>
        <v>39850.360000000015</v>
      </c>
      <c r="K42" s="239">
        <f t="shared" si="1"/>
        <v>0.22705024231768067</v>
      </c>
    </row>
    <row r="43" spans="1:12" s="108" customFormat="1" ht="46.5" x14ac:dyDescent="0.35">
      <c r="A43" s="235" t="s">
        <v>475</v>
      </c>
      <c r="B43" s="236" t="s">
        <v>331</v>
      </c>
      <c r="C43" s="237" t="s">
        <v>581</v>
      </c>
      <c r="D43" s="237" t="s">
        <v>476</v>
      </c>
      <c r="E43" s="237" t="s">
        <v>102</v>
      </c>
      <c r="F43" s="237" t="s">
        <v>356</v>
      </c>
      <c r="G43" s="237" t="s">
        <v>472</v>
      </c>
      <c r="H43" s="233">
        <v>111020.23000000001</v>
      </c>
      <c r="I43" s="233">
        <v>121017.3</v>
      </c>
      <c r="J43" s="238">
        <f t="shared" si="0"/>
        <v>9997.0699999999924</v>
      </c>
      <c r="K43" s="239">
        <f t="shared" si="1"/>
        <v>9.0047282373671822E-2</v>
      </c>
    </row>
    <row r="44" spans="1:12" s="108" customFormat="1" ht="46.5" x14ac:dyDescent="0.35">
      <c r="A44" s="235" t="s">
        <v>477</v>
      </c>
      <c r="B44" s="236" t="s">
        <v>331</v>
      </c>
      <c r="C44" s="237" t="s">
        <v>582</v>
      </c>
      <c r="D44" s="237" t="s">
        <v>478</v>
      </c>
      <c r="E44" s="237" t="s">
        <v>102</v>
      </c>
      <c r="F44" s="237" t="s">
        <v>356</v>
      </c>
      <c r="G44" s="237" t="s">
        <v>472</v>
      </c>
      <c r="H44" s="233">
        <v>129728.81</v>
      </c>
      <c r="I44" s="233">
        <v>132902.60999999999</v>
      </c>
      <c r="J44" s="238">
        <f t="shared" si="0"/>
        <v>3173.7999999999884</v>
      </c>
      <c r="K44" s="239">
        <f t="shared" si="1"/>
        <v>2.4464881779151359E-2</v>
      </c>
    </row>
    <row r="45" spans="1:12" s="108" customFormat="1" ht="46.5" x14ac:dyDescent="0.35">
      <c r="A45" s="235" t="s">
        <v>479</v>
      </c>
      <c r="B45" s="236" t="s">
        <v>331</v>
      </c>
      <c r="C45" s="237" t="s">
        <v>583</v>
      </c>
      <c r="D45" s="237" t="s">
        <v>480</v>
      </c>
      <c r="E45" s="237" t="s">
        <v>102</v>
      </c>
      <c r="F45" s="237" t="s">
        <v>356</v>
      </c>
      <c r="G45" s="237" t="s">
        <v>472</v>
      </c>
      <c r="H45" s="233">
        <v>169343.96</v>
      </c>
      <c r="I45" s="233">
        <v>171474.32</v>
      </c>
      <c r="J45" s="238">
        <f t="shared" si="0"/>
        <v>2130.3600000000151</v>
      </c>
      <c r="K45" s="239">
        <f t="shared" si="1"/>
        <v>1.2580076667629688E-2</v>
      </c>
    </row>
    <row r="46" spans="1:12" s="108" customFormat="1" ht="46.5" x14ac:dyDescent="0.35">
      <c r="A46" s="235" t="s">
        <v>565</v>
      </c>
      <c r="B46" s="236" t="s">
        <v>331</v>
      </c>
      <c r="C46" s="237" t="s">
        <v>584</v>
      </c>
      <c r="D46" s="237" t="s">
        <v>497</v>
      </c>
      <c r="E46" s="237" t="s">
        <v>102</v>
      </c>
      <c r="F46" s="237" t="s">
        <v>356</v>
      </c>
      <c r="G46" s="237" t="s">
        <v>472</v>
      </c>
      <c r="H46" s="233">
        <v>0</v>
      </c>
      <c r="I46" s="233">
        <v>63022.240000000005</v>
      </c>
      <c r="J46" s="238">
        <f t="shared" si="0"/>
        <v>63022.240000000005</v>
      </c>
      <c r="K46" s="239">
        <f t="shared" si="1"/>
        <v>0</v>
      </c>
    </row>
    <row r="47" spans="1:12" s="108" customFormat="1" ht="46.5" x14ac:dyDescent="0.35">
      <c r="A47" s="235" t="s">
        <v>481</v>
      </c>
      <c r="B47" s="236" t="s">
        <v>331</v>
      </c>
      <c r="C47" s="237" t="s">
        <v>576</v>
      </c>
      <c r="D47" s="237" t="s">
        <v>482</v>
      </c>
      <c r="E47" s="237" t="s">
        <v>98</v>
      </c>
      <c r="F47" s="237" t="s">
        <v>368</v>
      </c>
      <c r="G47" s="237" t="s">
        <v>483</v>
      </c>
      <c r="H47" s="233">
        <v>125000</v>
      </c>
      <c r="I47" s="233">
        <v>30000</v>
      </c>
      <c r="J47" s="238">
        <f t="shared" si="0"/>
        <v>-95000</v>
      </c>
      <c r="K47" s="239">
        <f t="shared" si="1"/>
        <v>-0.76</v>
      </c>
    </row>
    <row r="48" spans="1:12" s="108" customFormat="1" ht="46.5" x14ac:dyDescent="0.35">
      <c r="A48" s="235" t="s">
        <v>481</v>
      </c>
      <c r="B48" s="236" t="s">
        <v>63</v>
      </c>
      <c r="C48" s="237" t="s">
        <v>513</v>
      </c>
      <c r="D48" s="237" t="s">
        <v>484</v>
      </c>
      <c r="E48" s="237" t="s">
        <v>97</v>
      </c>
      <c r="F48" s="237" t="s">
        <v>366</v>
      </c>
      <c r="G48" s="237" t="s">
        <v>485</v>
      </c>
      <c r="H48" s="233">
        <v>0</v>
      </c>
      <c r="I48" s="233">
        <v>100000</v>
      </c>
      <c r="J48" s="238">
        <f t="shared" si="0"/>
        <v>100000</v>
      </c>
      <c r="K48" s="239">
        <f t="shared" si="1"/>
        <v>0</v>
      </c>
    </row>
    <row r="49" spans="1:12" s="108" customFormat="1" ht="31" x14ac:dyDescent="0.35">
      <c r="A49" s="235" t="s">
        <v>486</v>
      </c>
      <c r="B49" s="236" t="s">
        <v>328</v>
      </c>
      <c r="C49" s="237" t="s">
        <v>487</v>
      </c>
      <c r="D49" s="237" t="s">
        <v>488</v>
      </c>
      <c r="E49" s="237" t="s">
        <v>106</v>
      </c>
      <c r="F49" s="237" t="s">
        <v>366</v>
      </c>
      <c r="G49" s="237" t="s">
        <v>489</v>
      </c>
      <c r="H49" s="233">
        <v>25000</v>
      </c>
      <c r="I49" s="233">
        <v>0</v>
      </c>
      <c r="J49" s="238">
        <f t="shared" si="0"/>
        <v>-25000</v>
      </c>
      <c r="K49" s="239">
        <f t="shared" si="1"/>
        <v>-1</v>
      </c>
    </row>
    <row r="50" spans="1:12" s="108" customFormat="1" ht="31" x14ac:dyDescent="0.35">
      <c r="A50" s="235" t="s">
        <v>486</v>
      </c>
      <c r="B50" s="236" t="s">
        <v>63</v>
      </c>
      <c r="C50" s="237" t="s">
        <v>501</v>
      </c>
      <c r="D50" s="237" t="s">
        <v>490</v>
      </c>
      <c r="E50" s="237" t="s">
        <v>112</v>
      </c>
      <c r="F50" s="237" t="s">
        <v>366</v>
      </c>
      <c r="G50" s="237" t="s">
        <v>491</v>
      </c>
      <c r="H50" s="233">
        <v>0</v>
      </c>
      <c r="I50" s="233">
        <v>200000</v>
      </c>
      <c r="J50" s="238">
        <f t="shared" si="0"/>
        <v>200000</v>
      </c>
      <c r="K50" s="239">
        <f t="shared" si="1"/>
        <v>0</v>
      </c>
    </row>
    <row r="51" spans="1:12" s="108" customFormat="1" ht="46.5" x14ac:dyDescent="0.35">
      <c r="A51" s="235" t="s">
        <v>486</v>
      </c>
      <c r="B51" s="236" t="s">
        <v>328</v>
      </c>
      <c r="C51" s="237" t="s">
        <v>492</v>
      </c>
      <c r="D51" s="237" t="s">
        <v>493</v>
      </c>
      <c r="E51" s="237" t="s">
        <v>106</v>
      </c>
      <c r="F51" s="237" t="s">
        <v>366</v>
      </c>
      <c r="G51" s="237" t="s">
        <v>493</v>
      </c>
      <c r="H51" s="233">
        <v>100000</v>
      </c>
      <c r="I51" s="233">
        <v>0</v>
      </c>
      <c r="J51" s="238">
        <f t="shared" si="0"/>
        <v>-100000</v>
      </c>
      <c r="K51" s="239">
        <f t="shared" si="1"/>
        <v>-1</v>
      </c>
    </row>
    <row r="52" spans="1:12" s="108" customFormat="1" ht="62" x14ac:dyDescent="0.35">
      <c r="A52" s="235" t="s">
        <v>391</v>
      </c>
      <c r="B52" s="236" t="s">
        <v>63</v>
      </c>
      <c r="C52" s="237" t="s">
        <v>498</v>
      </c>
      <c r="D52" s="237" t="s">
        <v>588</v>
      </c>
      <c r="E52" s="237" t="s">
        <v>104</v>
      </c>
      <c r="F52" s="237" t="s">
        <v>366</v>
      </c>
      <c r="G52" s="237" t="s">
        <v>504</v>
      </c>
      <c r="H52" s="233">
        <v>0</v>
      </c>
      <c r="I52" s="233">
        <v>50000</v>
      </c>
      <c r="J52" s="238">
        <f t="shared" si="0"/>
        <v>50000</v>
      </c>
      <c r="K52" s="239">
        <f t="shared" si="1"/>
        <v>0</v>
      </c>
    </row>
    <row r="53" spans="1:12" s="108" customFormat="1" ht="31" x14ac:dyDescent="0.35">
      <c r="A53" s="235" t="s">
        <v>436</v>
      </c>
      <c r="B53" s="236" t="s">
        <v>63</v>
      </c>
      <c r="C53" s="237" t="s">
        <v>499</v>
      </c>
      <c r="D53" s="237" t="s">
        <v>502</v>
      </c>
      <c r="E53" s="237" t="s">
        <v>99</v>
      </c>
      <c r="F53" s="237" t="s">
        <v>366</v>
      </c>
      <c r="G53" s="237" t="s">
        <v>589</v>
      </c>
      <c r="H53" s="233">
        <v>0</v>
      </c>
      <c r="I53" s="233">
        <v>150000</v>
      </c>
      <c r="J53" s="238">
        <f t="shared" si="0"/>
        <v>150000</v>
      </c>
      <c r="K53" s="239">
        <f t="shared" si="1"/>
        <v>0</v>
      </c>
    </row>
    <row r="54" spans="1:12" s="108" customFormat="1" ht="31" x14ac:dyDescent="0.35">
      <c r="A54" s="235" t="s">
        <v>427</v>
      </c>
      <c r="B54" s="236" t="s">
        <v>63</v>
      </c>
      <c r="C54" s="237" t="s">
        <v>500</v>
      </c>
      <c r="D54" s="237" t="s">
        <v>503</v>
      </c>
      <c r="E54" s="237" t="s">
        <v>106</v>
      </c>
      <c r="F54" s="237" t="s">
        <v>366</v>
      </c>
      <c r="G54" s="237" t="s">
        <v>505</v>
      </c>
      <c r="H54" s="233">
        <v>0</v>
      </c>
      <c r="I54" s="233">
        <v>130000</v>
      </c>
      <c r="J54" s="238">
        <f t="shared" si="0"/>
        <v>130000</v>
      </c>
      <c r="K54" s="239">
        <f t="shared" si="1"/>
        <v>0</v>
      </c>
    </row>
    <row r="55" spans="1:12" s="108" customFormat="1" x14ac:dyDescent="0.35">
      <c r="A55" s="373" t="s">
        <v>114</v>
      </c>
      <c r="B55" s="373"/>
      <c r="C55" s="373"/>
      <c r="D55" s="373"/>
      <c r="E55" s="373"/>
      <c r="F55" s="373"/>
      <c r="G55" s="373"/>
      <c r="H55" s="140">
        <f>SUM(H8:H54)</f>
        <v>17579473.699999999</v>
      </c>
      <c r="I55" s="140">
        <f>SUM(I8:I54)</f>
        <v>17147683.309999995</v>
      </c>
      <c r="J55" s="277">
        <f t="shared" si="0"/>
        <v>-431790.39000000432</v>
      </c>
      <c r="K55" s="141">
        <f t="shared" si="1"/>
        <v>-2.4562190960244978E-2</v>
      </c>
    </row>
    <row r="56" spans="1:12" s="108" customFormat="1" hidden="1" x14ac:dyDescent="0.35">
      <c r="A56" s="372" t="s">
        <v>223</v>
      </c>
      <c r="B56" s="372"/>
      <c r="C56" s="372"/>
      <c r="D56" s="372"/>
      <c r="E56" s="372"/>
      <c r="F56" s="372"/>
      <c r="G56" s="372"/>
      <c r="H56" s="137" t="b">
        <v>1</v>
      </c>
      <c r="I56" s="137" t="b">
        <f>I55='Anexo 1. Fontes e Aplicações'!D34</f>
        <v>1</v>
      </c>
      <c r="J56" s="272"/>
      <c r="K56" s="144"/>
    </row>
    <row r="57" spans="1:12" s="108" customFormat="1" x14ac:dyDescent="0.35">
      <c r="A57" s="370" t="s">
        <v>224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</row>
    <row r="58" spans="1:12" s="108" customFormat="1" ht="120.75" customHeight="1" x14ac:dyDescent="0.35">
      <c r="A58" s="368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274"/>
    </row>
    <row r="59" spans="1:12" s="108" customFormat="1" hidden="1" x14ac:dyDescent="0.3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</row>
    <row r="60" spans="1:12" x14ac:dyDescent="0.6">
      <c r="L60" s="138"/>
    </row>
    <row r="61" spans="1:12" x14ac:dyDescent="0.6">
      <c r="L61" s="138"/>
    </row>
    <row r="62" spans="1:12" x14ac:dyDescent="0.6">
      <c r="L62" s="138"/>
    </row>
    <row r="63" spans="1:12" x14ac:dyDescent="0.6">
      <c r="L63" s="138"/>
    </row>
    <row r="64" spans="1:12" x14ac:dyDescent="0.6">
      <c r="L64" s="138"/>
    </row>
    <row r="65" spans="12:12" x14ac:dyDescent="0.6">
      <c r="L65" s="138"/>
    </row>
    <row r="66" spans="12:12" x14ac:dyDescent="0.6">
      <c r="L66" s="138"/>
    </row>
    <row r="67" spans="12:12" x14ac:dyDescent="0.6">
      <c r="L67" s="138"/>
    </row>
    <row r="68" spans="12:12" x14ac:dyDescent="0.6">
      <c r="L68" s="138"/>
    </row>
    <row r="69" spans="12:12" x14ac:dyDescent="0.6">
      <c r="L69" s="138"/>
    </row>
    <row r="70" spans="12:12" x14ac:dyDescent="0.6">
      <c r="L70" s="138"/>
    </row>
    <row r="71" spans="12:12" x14ac:dyDescent="0.6">
      <c r="L71" s="138"/>
    </row>
    <row r="72" spans="12:12" x14ac:dyDescent="0.6">
      <c r="L72" s="138"/>
    </row>
    <row r="73" spans="12:12" x14ac:dyDescent="0.6">
      <c r="L73" s="138"/>
    </row>
    <row r="74" spans="12:12" x14ac:dyDescent="0.6">
      <c r="L74" s="138"/>
    </row>
    <row r="75" spans="12:12" x14ac:dyDescent="0.6">
      <c r="L75" s="138"/>
    </row>
    <row r="76" spans="12:12" x14ac:dyDescent="0.6">
      <c r="L76" s="138"/>
    </row>
    <row r="77" spans="12:12" x14ac:dyDescent="0.6">
      <c r="L77" s="138"/>
    </row>
    <row r="78" spans="12:12" x14ac:dyDescent="0.6">
      <c r="L78" s="138"/>
    </row>
    <row r="79" spans="12:12" x14ac:dyDescent="0.6">
      <c r="L79" s="138"/>
    </row>
    <row r="80" spans="12:12" x14ac:dyDescent="0.6">
      <c r="L80" s="138"/>
    </row>
    <row r="81" spans="12:12" x14ac:dyDescent="0.6">
      <c r="L81" s="138"/>
    </row>
    <row r="82" spans="12:12" x14ac:dyDescent="0.6">
      <c r="L82" s="138"/>
    </row>
    <row r="83" spans="12:12" x14ac:dyDescent="0.6">
      <c r="L83" s="138"/>
    </row>
    <row r="84" spans="12:12" x14ac:dyDescent="0.6">
      <c r="L84" s="138"/>
    </row>
    <row r="85" spans="12:12" x14ac:dyDescent="0.6">
      <c r="L85" s="138"/>
    </row>
    <row r="86" spans="12:12" x14ac:dyDescent="0.6">
      <c r="L86" s="138"/>
    </row>
    <row r="87" spans="12:12" x14ac:dyDescent="0.6">
      <c r="L87" s="138"/>
    </row>
    <row r="88" spans="12:12" x14ac:dyDescent="0.6">
      <c r="L88" s="138"/>
    </row>
    <row r="89" spans="12:12" x14ac:dyDescent="0.6">
      <c r="L89" s="138"/>
    </row>
    <row r="90" spans="12:12" x14ac:dyDescent="0.6">
      <c r="L90" s="138"/>
    </row>
    <row r="91" spans="12:12" x14ac:dyDescent="0.6">
      <c r="L91" s="138"/>
    </row>
    <row r="92" spans="12:12" x14ac:dyDescent="0.6">
      <c r="L92" s="138"/>
    </row>
    <row r="93" spans="12:12" x14ac:dyDescent="0.6">
      <c r="L93" s="138"/>
    </row>
    <row r="94" spans="12:12" x14ac:dyDescent="0.6">
      <c r="L94" s="138"/>
    </row>
    <row r="95" spans="12:12" x14ac:dyDescent="0.6">
      <c r="L95" s="138"/>
    </row>
    <row r="96" spans="12:12" x14ac:dyDescent="0.6">
      <c r="L96" s="138"/>
    </row>
    <row r="97" spans="12:12" x14ac:dyDescent="0.6">
      <c r="L97" s="138"/>
    </row>
    <row r="98" spans="12:12" x14ac:dyDescent="0.6">
      <c r="L98" s="138"/>
    </row>
    <row r="99" spans="12:12" x14ac:dyDescent="0.6">
      <c r="L99" s="138"/>
    </row>
    <row r="100" spans="12:12" x14ac:dyDescent="0.6">
      <c r="L100" s="138"/>
    </row>
    <row r="101" spans="12:12" x14ac:dyDescent="0.6">
      <c r="L101" s="138"/>
    </row>
    <row r="102" spans="12:12" x14ac:dyDescent="0.6">
      <c r="L102" s="138"/>
    </row>
    <row r="103" spans="12:12" x14ac:dyDescent="0.6">
      <c r="L103" s="138"/>
    </row>
    <row r="104" spans="12:12" x14ac:dyDescent="0.6">
      <c r="L104" s="138"/>
    </row>
    <row r="105" spans="12:12" x14ac:dyDescent="0.6">
      <c r="L105" s="138"/>
    </row>
    <row r="106" spans="12:12" x14ac:dyDescent="0.6">
      <c r="L106" s="138"/>
    </row>
    <row r="107" spans="12:12" x14ac:dyDescent="0.6">
      <c r="L107" s="138"/>
    </row>
    <row r="108" spans="12:12" x14ac:dyDescent="0.6">
      <c r="L108" s="138"/>
    </row>
    <row r="109" spans="12:12" x14ac:dyDescent="0.6">
      <c r="L109" s="138"/>
    </row>
    <row r="110" spans="12:12" x14ac:dyDescent="0.6">
      <c r="L110" s="138"/>
    </row>
    <row r="111" spans="12:12" x14ac:dyDescent="0.6">
      <c r="L111" s="138"/>
    </row>
    <row r="112" spans="12:12" x14ac:dyDescent="0.6">
      <c r="L112" s="138"/>
    </row>
    <row r="113" spans="12:12" x14ac:dyDescent="0.6">
      <c r="L113" s="138"/>
    </row>
    <row r="114" spans="12:12" x14ac:dyDescent="0.6">
      <c r="L114" s="138"/>
    </row>
    <row r="115" spans="12:12" x14ac:dyDescent="0.6">
      <c r="L115" s="138"/>
    </row>
    <row r="116" spans="12:12" x14ac:dyDescent="0.6">
      <c r="L116" s="138"/>
    </row>
    <row r="117" spans="12:12" x14ac:dyDescent="0.6">
      <c r="L117" s="138"/>
    </row>
    <row r="118" spans="12:12" x14ac:dyDescent="0.6">
      <c r="L118" s="138"/>
    </row>
    <row r="119" spans="12:12" x14ac:dyDescent="0.6">
      <c r="L119" s="138"/>
    </row>
    <row r="120" spans="12:12" x14ac:dyDescent="0.6">
      <c r="L120" s="138"/>
    </row>
    <row r="121" spans="12:12" x14ac:dyDescent="0.6">
      <c r="L121" s="138"/>
    </row>
    <row r="122" spans="12:12" x14ac:dyDescent="0.6">
      <c r="L122" s="138"/>
    </row>
    <row r="123" spans="12:12" x14ac:dyDescent="0.6">
      <c r="L123" s="138"/>
    </row>
    <row r="124" spans="12:12" x14ac:dyDescent="0.6">
      <c r="L124" s="138"/>
    </row>
    <row r="125" spans="12:12" x14ac:dyDescent="0.6">
      <c r="L125" s="138"/>
    </row>
    <row r="126" spans="12:12" x14ac:dyDescent="0.6">
      <c r="L126" s="138"/>
    </row>
    <row r="127" spans="12:12" x14ac:dyDescent="0.6">
      <c r="L127" s="138"/>
    </row>
    <row r="128" spans="12:12" x14ac:dyDescent="0.6">
      <c r="L128" s="138"/>
    </row>
    <row r="129" spans="12:12" x14ac:dyDescent="0.6">
      <c r="L129" s="138"/>
    </row>
    <row r="130" spans="12:12" x14ac:dyDescent="0.6">
      <c r="L130" s="138"/>
    </row>
    <row r="131" spans="12:12" x14ac:dyDescent="0.6">
      <c r="L131" s="138"/>
    </row>
    <row r="132" spans="12:12" x14ac:dyDescent="0.6">
      <c r="L132" s="138"/>
    </row>
    <row r="133" spans="12:12" x14ac:dyDescent="0.6">
      <c r="L133" s="138"/>
    </row>
    <row r="134" spans="12:12" x14ac:dyDescent="0.6">
      <c r="L134" s="138"/>
    </row>
    <row r="135" spans="12:12" x14ac:dyDescent="0.6">
      <c r="L135" s="138"/>
    </row>
    <row r="136" spans="12:12" x14ac:dyDescent="0.6">
      <c r="L136" s="138"/>
    </row>
    <row r="137" spans="12:12" x14ac:dyDescent="0.6">
      <c r="L137" s="138"/>
    </row>
    <row r="138" spans="12:12" x14ac:dyDescent="0.6">
      <c r="L138" s="138"/>
    </row>
    <row r="139" spans="12:12" x14ac:dyDescent="0.6">
      <c r="L139" s="138"/>
    </row>
    <row r="140" spans="12:12" x14ac:dyDescent="0.6">
      <c r="L140" s="138"/>
    </row>
    <row r="141" spans="12:12" x14ac:dyDescent="0.6">
      <c r="L141" s="138"/>
    </row>
    <row r="142" spans="12:12" x14ac:dyDescent="0.6">
      <c r="L142" s="138"/>
    </row>
    <row r="143" spans="12:12" x14ac:dyDescent="0.6">
      <c r="L143" s="138"/>
    </row>
    <row r="144" spans="12:12" x14ac:dyDescent="0.6">
      <c r="L144" s="138"/>
    </row>
    <row r="145" spans="12:12" x14ac:dyDescent="0.6">
      <c r="L145" s="138"/>
    </row>
    <row r="146" spans="12:12" x14ac:dyDescent="0.6">
      <c r="L146" s="138"/>
    </row>
    <row r="147" spans="12:12" x14ac:dyDescent="0.6">
      <c r="L147" s="138"/>
    </row>
  </sheetData>
  <sheetProtection formatCells="0" formatRows="0" insertRows="0" deleteRows="0"/>
  <autoFilter ref="A7:K57" xr:uid="{00000000-0009-0000-0000-000005000000}"/>
  <mergeCells count="19">
    <mergeCell ref="A1:K1"/>
    <mergeCell ref="G6:G7"/>
    <mergeCell ref="A3:K3"/>
    <mergeCell ref="J6:K6"/>
    <mergeCell ref="A6:A7"/>
    <mergeCell ref="B6:B7"/>
    <mergeCell ref="C6:C7"/>
    <mergeCell ref="E6:E7"/>
    <mergeCell ref="D6:D7"/>
    <mergeCell ref="A2:K2"/>
    <mergeCell ref="A5:K5"/>
    <mergeCell ref="A59:K59"/>
    <mergeCell ref="A58:K58"/>
    <mergeCell ref="A57:K57"/>
    <mergeCell ref="H6:H7"/>
    <mergeCell ref="I6:I7"/>
    <mergeCell ref="F6:F7"/>
    <mergeCell ref="A56:G56"/>
    <mergeCell ref="A55:G55"/>
  </mergeCells>
  <phoneticPr fontId="18" type="noConversion"/>
  <conditionalFormatting sqref="H56:K56">
    <cfRule type="cellIs" dxfId="18" priority="4" operator="equal">
      <formula>TRUE</formula>
    </cfRule>
  </conditionalFormatting>
  <pageMargins left="0.23622047244094491" right="0.23622047244094491" top="0.27559055118110237" bottom="0.15748031496062992" header="0.31496062992125984" footer="0.31496062992125984"/>
  <pageSetup paperSize="9" scale="4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'Validação de dados'!$A$1:$A$17</xm:f>
          </x14:formula1>
          <xm:sqref>F8:F54</xm:sqref>
        </x14:dataValidation>
        <x14:dataValidation type="list" allowBlank="1" showInputMessage="1" showErrorMessage="1" xr:uid="{00000000-0002-0000-0500-000001000000}">
          <x14:formula1>
            <xm:f>'Validação de dados'!$E$1:$E$6</xm:f>
          </x14:formula1>
          <xm:sqref>B8:B54</xm:sqref>
        </x14:dataValidation>
        <x14:dataValidation type="list" allowBlank="1" showInputMessage="1" showErrorMessage="1" xr:uid="{00000000-0002-0000-0500-000002000000}">
          <x14:formula1>
            <xm:f>'Validação de dados'!$D$18:$D$33</xm:f>
          </x14:formula1>
          <xm:sqref>E8:E54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theme="4" tint="0.39997558519241921"/>
    <pageSetUpPr fitToPage="1"/>
  </sheetPr>
  <dimension ref="A1:L59"/>
  <sheetViews>
    <sheetView showGridLines="0" zoomScale="90" zoomScaleNormal="90" zoomScaleSheetLayoutView="80" workbookViewId="0">
      <selection activeCell="J50" sqref="J50"/>
    </sheetView>
  </sheetViews>
  <sheetFormatPr defaultColWidth="0" defaultRowHeight="15.5" zeroHeight="1" x14ac:dyDescent="0.35"/>
  <cols>
    <col min="1" max="1" width="47" style="78" customWidth="1"/>
    <col min="2" max="5" width="17.1796875" style="78" customWidth="1"/>
    <col min="6" max="6" width="17.1796875" style="78" hidden="1" customWidth="1"/>
    <col min="7" max="7" width="17.1796875" style="78" customWidth="1"/>
    <col min="8" max="8" width="18.81640625" style="84" customWidth="1"/>
    <col min="9" max="9" width="18.81640625" style="86" hidden="1" customWidth="1"/>
    <col min="10" max="10" width="18.81640625" style="84" customWidth="1"/>
    <col min="11" max="11" width="18.81640625" style="84" hidden="1" customWidth="1"/>
    <col min="12" max="12" width="0" style="84" hidden="1" customWidth="1"/>
    <col min="13" max="16384" width="9.1796875" style="84" hidden="1"/>
  </cols>
  <sheetData>
    <row r="1" spans="1:11" ht="118.5" customHeight="1" x14ac:dyDescent="0.35">
      <c r="A1" s="379" t="s">
        <v>225</v>
      </c>
      <c r="B1" s="379"/>
      <c r="C1" s="379"/>
      <c r="D1" s="379"/>
      <c r="E1" s="379"/>
      <c r="F1" s="379"/>
      <c r="G1" s="380"/>
    </row>
    <row r="2" spans="1:11" x14ac:dyDescent="0.35">
      <c r="A2" s="382" t="str">
        <f>'Indicadores e Metas'!A2:F2</f>
        <v>CAU/UF:  Conselho de Arquitetura e Urbanismo do Estado de Minas Gerais- CAU/MG</v>
      </c>
      <c r="B2" s="383"/>
      <c r="C2" s="383"/>
      <c r="D2" s="383"/>
      <c r="E2" s="383"/>
      <c r="F2" s="383"/>
      <c r="G2" s="384"/>
    </row>
    <row r="3" spans="1:11" s="85" customFormat="1" x14ac:dyDescent="0.35">
      <c r="A3" s="382" t="s">
        <v>226</v>
      </c>
      <c r="B3" s="383"/>
      <c r="C3" s="383"/>
      <c r="D3" s="383"/>
      <c r="E3" s="383"/>
      <c r="F3" s="383"/>
      <c r="G3" s="384"/>
      <c r="I3" s="87"/>
    </row>
    <row r="4" spans="1:11" s="85" customFormat="1" x14ac:dyDescent="0.35">
      <c r="A4" s="405"/>
      <c r="B4" s="405"/>
      <c r="C4" s="405"/>
      <c r="D4" s="405"/>
      <c r="E4" s="405"/>
      <c r="F4" s="81"/>
      <c r="G4" s="79"/>
      <c r="I4" s="87"/>
    </row>
    <row r="5" spans="1:11" ht="33" customHeight="1" x14ac:dyDescent="0.35">
      <c r="A5" s="385" t="s">
        <v>227</v>
      </c>
      <c r="B5" s="386"/>
      <c r="C5" s="376" t="s">
        <v>228</v>
      </c>
      <c r="D5" s="376" t="s">
        <v>229</v>
      </c>
      <c r="E5" s="299" t="s">
        <v>220</v>
      </c>
      <c r="F5" s="299"/>
      <c r="G5" s="411" t="s">
        <v>230</v>
      </c>
    </row>
    <row r="6" spans="1:11" ht="20.25" customHeight="1" x14ac:dyDescent="0.35">
      <c r="A6" s="387"/>
      <c r="B6" s="388"/>
      <c r="C6" s="378"/>
      <c r="D6" s="378"/>
      <c r="E6" s="376" t="s">
        <v>231</v>
      </c>
      <c r="F6" s="411" t="s">
        <v>232</v>
      </c>
      <c r="G6" s="412"/>
    </row>
    <row r="7" spans="1:11" x14ac:dyDescent="0.35">
      <c r="A7" s="389" t="s">
        <v>233</v>
      </c>
      <c r="B7" s="390"/>
      <c r="C7" s="377"/>
      <c r="D7" s="377"/>
      <c r="E7" s="377"/>
      <c r="F7" s="413"/>
      <c r="G7" s="413"/>
    </row>
    <row r="8" spans="1:11" x14ac:dyDescent="0.35">
      <c r="A8" s="394" t="s">
        <v>29</v>
      </c>
      <c r="B8" s="394"/>
      <c r="C8" s="146">
        <f>C9+C19+C20+C21</f>
        <v>15134473.700000001</v>
      </c>
      <c r="D8" s="146">
        <f t="shared" ref="D8" si="0">D9+D19+D20+D21</f>
        <v>15767683.309999999</v>
      </c>
      <c r="E8" s="146">
        <f>D8-C8</f>
        <v>633209.60999999754</v>
      </c>
      <c r="F8" s="149">
        <f>IFERROR(E8/C8,)</f>
        <v>4.1838891959619151E-2</v>
      </c>
      <c r="G8" s="148">
        <f>IFERROR(D8/$D$25,0)</f>
        <v>0.91952265649813891</v>
      </c>
      <c r="H8" s="234" t="b">
        <v>1</v>
      </c>
      <c r="I8" s="105"/>
      <c r="J8" s="104"/>
      <c r="K8" s="104" t="s">
        <v>234</v>
      </c>
    </row>
    <row r="9" spans="1:11" x14ac:dyDescent="0.35">
      <c r="A9" s="391" t="s">
        <v>32</v>
      </c>
      <c r="B9" s="391"/>
      <c r="C9" s="146">
        <f>C10+C17+C18</f>
        <v>12985684.140000001</v>
      </c>
      <c r="D9" s="146">
        <f t="shared" ref="D9" si="1">D10+D17+D18</f>
        <v>13810599.309999999</v>
      </c>
      <c r="E9" s="146">
        <f t="shared" ref="E9:E25" si="2">D9-C9</f>
        <v>824915.16999999806</v>
      </c>
      <c r="F9" s="149">
        <f t="shared" ref="F9:F25" si="3">IFERROR(E9/C9,)</f>
        <v>6.3524968042230387E-2</v>
      </c>
      <c r="G9" s="148">
        <f t="shared" ref="G9:G25" si="4">IFERROR(D9/$D$25,0)</f>
        <v>0.8053915540850981</v>
      </c>
      <c r="H9" s="234" t="b">
        <v>1</v>
      </c>
      <c r="I9" s="105">
        <f>I10+I17+I18</f>
        <v>13810599.309999999</v>
      </c>
      <c r="J9" s="104" t="b">
        <f t="shared" ref="J9:J18" si="5">D9=I9</f>
        <v>1</v>
      </c>
      <c r="K9" s="106">
        <f t="shared" ref="K9:K18" si="6">D9-I9</f>
        <v>0</v>
      </c>
    </row>
    <row r="10" spans="1:11" x14ac:dyDescent="0.35">
      <c r="A10" s="391" t="s">
        <v>35</v>
      </c>
      <c r="B10" s="391"/>
      <c r="C10" s="146">
        <f>C11+C14</f>
        <v>6638088.8400000008</v>
      </c>
      <c r="D10" s="146">
        <f t="shared" ref="D10" si="7">D11+D14</f>
        <v>7006162.6799999997</v>
      </c>
      <c r="E10" s="146">
        <f t="shared" si="2"/>
        <v>368073.83999999892</v>
      </c>
      <c r="F10" s="149">
        <f t="shared" si="3"/>
        <v>5.5448766786917375E-2</v>
      </c>
      <c r="G10" s="148">
        <f t="shared" si="4"/>
        <v>0.4085777975567243</v>
      </c>
      <c r="H10" s="234" t="b">
        <v>1</v>
      </c>
      <c r="I10" s="105">
        <f>I11+I14</f>
        <v>7006162.6799999997</v>
      </c>
      <c r="J10" s="104" t="b">
        <f t="shared" si="5"/>
        <v>1</v>
      </c>
      <c r="K10" s="106">
        <f t="shared" si="6"/>
        <v>0</v>
      </c>
    </row>
    <row r="11" spans="1:11" x14ac:dyDescent="0.35">
      <c r="A11" s="391" t="s">
        <v>38</v>
      </c>
      <c r="B11" s="391"/>
      <c r="C11" s="146">
        <f>SUM(C12:C13)</f>
        <v>6137482.8500000006</v>
      </c>
      <c r="D11" s="146">
        <f t="shared" ref="D11" si="8">SUM(D12:D13)</f>
        <v>6560754.6799999997</v>
      </c>
      <c r="E11" s="146">
        <f t="shared" si="2"/>
        <v>423271.82999999914</v>
      </c>
      <c r="F11" s="149">
        <f t="shared" si="3"/>
        <v>6.8965052993997217E-2</v>
      </c>
      <c r="G11" s="148">
        <f t="shared" si="4"/>
        <v>0.38260297682159611</v>
      </c>
      <c r="H11" s="234" t="b">
        <v>1</v>
      </c>
      <c r="I11" s="105">
        <f>I12+I13</f>
        <v>6560754.6799999997</v>
      </c>
      <c r="J11" s="104" t="b">
        <f t="shared" si="5"/>
        <v>1</v>
      </c>
      <c r="K11" s="106">
        <f t="shared" si="6"/>
        <v>0</v>
      </c>
    </row>
    <row r="12" spans="1:11" x14ac:dyDescent="0.35">
      <c r="A12" s="395" t="s">
        <v>494</v>
      </c>
      <c r="B12" s="395"/>
      <c r="C12" s="139">
        <v>4963999.82</v>
      </c>
      <c r="D12" s="139">
        <v>5661587.5</v>
      </c>
      <c r="E12" s="146">
        <f t="shared" si="2"/>
        <v>697587.6799999997</v>
      </c>
      <c r="F12" s="149">
        <f t="shared" si="3"/>
        <v>0.14052935239631006</v>
      </c>
      <c r="G12" s="148">
        <f t="shared" si="4"/>
        <v>0.33016632029227744</v>
      </c>
      <c r="H12" s="234" t="b">
        <v>1</v>
      </c>
      <c r="I12" s="105">
        <f>'Diretrizes - Resumo'!AI7</f>
        <v>5661587.5</v>
      </c>
      <c r="J12" s="104" t="b">
        <f t="shared" si="5"/>
        <v>1</v>
      </c>
      <c r="K12" s="106">
        <f t="shared" si="6"/>
        <v>0</v>
      </c>
    </row>
    <row r="13" spans="1:11" x14ac:dyDescent="0.35">
      <c r="A13" s="395" t="s">
        <v>43</v>
      </c>
      <c r="B13" s="395"/>
      <c r="C13" s="139">
        <v>1173483.03</v>
      </c>
      <c r="D13" s="139">
        <v>899167.18</v>
      </c>
      <c r="E13" s="146">
        <f t="shared" si="2"/>
        <v>-274315.84999999998</v>
      </c>
      <c r="F13" s="149">
        <f t="shared" si="3"/>
        <v>-0.23376209368788228</v>
      </c>
      <c r="G13" s="148">
        <f t="shared" si="4"/>
        <v>5.2436656529318663E-2</v>
      </c>
      <c r="H13" s="234" t="b">
        <v>1</v>
      </c>
      <c r="I13" s="105">
        <f>'Diretrizes - Resumo'!AI8</f>
        <v>899167.18</v>
      </c>
      <c r="J13" s="104" t="b">
        <f t="shared" si="5"/>
        <v>1</v>
      </c>
      <c r="K13" s="106">
        <f t="shared" si="6"/>
        <v>0</v>
      </c>
    </row>
    <row r="14" spans="1:11" x14ac:dyDescent="0.35">
      <c r="A14" s="391" t="s">
        <v>46</v>
      </c>
      <c r="B14" s="391"/>
      <c r="C14" s="146">
        <f>SUM(C15:C16)</f>
        <v>500605.99</v>
      </c>
      <c r="D14" s="146">
        <f t="shared" ref="D14" si="9">SUM(D15:D16)</f>
        <v>445408</v>
      </c>
      <c r="E14" s="146">
        <f t="shared" si="2"/>
        <v>-55197.989999999991</v>
      </c>
      <c r="F14" s="149">
        <f t="shared" si="3"/>
        <v>-0.11026234424402311</v>
      </c>
      <c r="G14" s="148">
        <f t="shared" si="4"/>
        <v>2.5974820735128214E-2</v>
      </c>
      <c r="H14" s="234" t="b">
        <v>1</v>
      </c>
      <c r="I14" s="105">
        <f>I15+I16</f>
        <v>445408</v>
      </c>
      <c r="J14" s="104" t="b">
        <f t="shared" si="5"/>
        <v>1</v>
      </c>
      <c r="K14" s="106">
        <f t="shared" si="6"/>
        <v>0</v>
      </c>
    </row>
    <row r="15" spans="1:11" x14ac:dyDescent="0.35">
      <c r="A15" s="395" t="s">
        <v>495</v>
      </c>
      <c r="B15" s="395"/>
      <c r="C15" s="139">
        <v>273501.27</v>
      </c>
      <c r="D15" s="139">
        <v>343751.59</v>
      </c>
      <c r="E15" s="146">
        <f t="shared" si="2"/>
        <v>70250.320000000007</v>
      </c>
      <c r="F15" s="149">
        <f t="shared" si="3"/>
        <v>0.25685555317531067</v>
      </c>
      <c r="G15" s="148">
        <f t="shared" si="4"/>
        <v>2.0046532454884719E-2</v>
      </c>
      <c r="H15" s="234" t="b">
        <v>1</v>
      </c>
      <c r="I15" s="105">
        <f>'Diretrizes - Resumo'!AI10</f>
        <v>343751.59</v>
      </c>
      <c r="J15" s="104" t="b">
        <f t="shared" si="5"/>
        <v>1</v>
      </c>
      <c r="K15" s="106">
        <f t="shared" si="6"/>
        <v>0</v>
      </c>
    </row>
    <row r="16" spans="1:11" x14ac:dyDescent="0.35">
      <c r="A16" s="395" t="s">
        <v>50</v>
      </c>
      <c r="B16" s="395"/>
      <c r="C16" s="139">
        <v>227104.72</v>
      </c>
      <c r="D16" s="139">
        <v>101656.41</v>
      </c>
      <c r="E16" s="146">
        <f t="shared" si="2"/>
        <v>-125448.31</v>
      </c>
      <c r="F16" s="149">
        <f t="shared" si="3"/>
        <v>-0.55238090163868014</v>
      </c>
      <c r="G16" s="148">
        <f t="shared" si="4"/>
        <v>5.9282882802434971E-3</v>
      </c>
      <c r="H16" s="234" t="b">
        <v>1</v>
      </c>
      <c r="I16" s="105">
        <f>'Diretrizes - Resumo'!AI11</f>
        <v>101656.41</v>
      </c>
      <c r="J16" s="104" t="b">
        <f t="shared" si="5"/>
        <v>1</v>
      </c>
      <c r="K16" s="106">
        <f t="shared" si="6"/>
        <v>0</v>
      </c>
    </row>
    <row r="17" spans="1:11" x14ac:dyDescent="0.35">
      <c r="A17" s="381" t="s">
        <v>52</v>
      </c>
      <c r="B17" s="381"/>
      <c r="C17" s="139">
        <v>5697563.0499999998</v>
      </c>
      <c r="D17" s="139">
        <v>6123281.4699999997</v>
      </c>
      <c r="E17" s="146">
        <f t="shared" si="2"/>
        <v>425718.41999999993</v>
      </c>
      <c r="F17" s="149">
        <f t="shared" si="3"/>
        <v>7.471938726505184E-2</v>
      </c>
      <c r="G17" s="148">
        <f t="shared" si="4"/>
        <v>0.35709088856505133</v>
      </c>
      <c r="H17" s="234" t="b">
        <v>1</v>
      </c>
      <c r="I17" s="105">
        <f>'Diretrizes - Resumo'!AI12</f>
        <v>6123281.4699999997</v>
      </c>
      <c r="J17" s="104" t="b">
        <f t="shared" si="5"/>
        <v>1</v>
      </c>
      <c r="K17" s="106">
        <f t="shared" si="6"/>
        <v>0</v>
      </c>
    </row>
    <row r="18" spans="1:11" x14ac:dyDescent="0.35">
      <c r="A18" s="381" t="s">
        <v>235</v>
      </c>
      <c r="B18" s="381"/>
      <c r="C18" s="139">
        <v>650032.25</v>
      </c>
      <c r="D18" s="139">
        <v>681155.16</v>
      </c>
      <c r="E18" s="146">
        <f t="shared" si="2"/>
        <v>31122.910000000033</v>
      </c>
      <c r="F18" s="149">
        <f t="shared" si="3"/>
        <v>4.7879024463786272E-2</v>
      </c>
      <c r="G18" s="148">
        <f t="shared" si="4"/>
        <v>3.972286796332257E-2</v>
      </c>
      <c r="H18" s="234" t="b">
        <v>1</v>
      </c>
      <c r="I18" s="105">
        <f>'Diretrizes - Resumo'!AI13</f>
        <v>681155.16</v>
      </c>
      <c r="J18" s="104" t="b">
        <f t="shared" si="5"/>
        <v>1</v>
      </c>
      <c r="K18" s="106">
        <f t="shared" si="6"/>
        <v>0</v>
      </c>
    </row>
    <row r="19" spans="1:11" x14ac:dyDescent="0.35">
      <c r="A19" s="381" t="s">
        <v>55</v>
      </c>
      <c r="B19" s="381"/>
      <c r="C19" s="139">
        <v>2090000.0099999998</v>
      </c>
      <c r="D19" s="139">
        <v>1900000</v>
      </c>
      <c r="E19" s="146">
        <f t="shared" si="2"/>
        <v>-190000.00999999978</v>
      </c>
      <c r="F19" s="149">
        <f t="shared" si="3"/>
        <v>-9.0909095258808054E-2</v>
      </c>
      <c r="G19" s="148">
        <f t="shared" si="4"/>
        <v>0.11080213960401163</v>
      </c>
      <c r="H19" s="234" t="b">
        <v>1</v>
      </c>
      <c r="I19" s="105"/>
      <c r="J19" s="104"/>
      <c r="K19" s="104"/>
    </row>
    <row r="20" spans="1:11" x14ac:dyDescent="0.35">
      <c r="A20" s="381" t="s">
        <v>57</v>
      </c>
      <c r="B20" s="381"/>
      <c r="C20" s="139">
        <v>58789.55</v>
      </c>
      <c r="D20" s="139">
        <v>57084</v>
      </c>
      <c r="E20" s="146">
        <f t="shared" si="2"/>
        <v>-1705.5500000000029</v>
      </c>
      <c r="F20" s="149">
        <f t="shared" si="3"/>
        <v>-2.9011108266690303E-2</v>
      </c>
      <c r="G20" s="148">
        <f t="shared" si="4"/>
        <v>3.3289628090291579E-3</v>
      </c>
      <c r="H20" s="234" t="b">
        <v>1</v>
      </c>
      <c r="I20" s="105">
        <f>'Diretrizes - Resumo'!AI15</f>
        <v>57084</v>
      </c>
      <c r="J20" s="104" t="b">
        <f>I20&lt;=D20</f>
        <v>1</v>
      </c>
      <c r="K20" s="106">
        <f>D20-I20</f>
        <v>0</v>
      </c>
    </row>
    <row r="21" spans="1:11" x14ac:dyDescent="0.35">
      <c r="A21" s="381" t="s">
        <v>59</v>
      </c>
      <c r="B21" s="381"/>
      <c r="C21" s="139">
        <v>0</v>
      </c>
      <c r="D21" s="139">
        <v>0</v>
      </c>
      <c r="E21" s="146">
        <f t="shared" si="2"/>
        <v>0</v>
      </c>
      <c r="F21" s="149">
        <f t="shared" si="3"/>
        <v>0</v>
      </c>
      <c r="G21" s="148">
        <f t="shared" si="4"/>
        <v>0</v>
      </c>
      <c r="H21" s="234" t="b">
        <v>1</v>
      </c>
      <c r="I21" s="105"/>
      <c r="J21" s="104"/>
      <c r="K21" s="104"/>
    </row>
    <row r="22" spans="1:11" x14ac:dyDescent="0.35">
      <c r="A22" s="394" t="s">
        <v>236</v>
      </c>
      <c r="B22" s="394"/>
      <c r="C22" s="146">
        <f>SUM(C23:C24)</f>
        <v>2445000</v>
      </c>
      <c r="D22" s="146">
        <f>SUM(D23:D24)</f>
        <v>1380000</v>
      </c>
      <c r="E22" s="146">
        <f t="shared" si="2"/>
        <v>-1065000</v>
      </c>
      <c r="F22" s="149">
        <f t="shared" si="3"/>
        <v>-0.43558282208588955</v>
      </c>
      <c r="G22" s="148">
        <f t="shared" si="4"/>
        <v>8.0477343501861073E-2</v>
      </c>
      <c r="H22" s="234" t="b">
        <v>1</v>
      </c>
      <c r="I22" s="105"/>
      <c r="J22" s="104"/>
      <c r="K22" s="104"/>
    </row>
    <row r="23" spans="1:11" x14ac:dyDescent="0.35">
      <c r="A23" s="381" t="s">
        <v>237</v>
      </c>
      <c r="B23" s="381"/>
      <c r="C23" s="139">
        <v>2445000</v>
      </c>
      <c r="D23" s="139">
        <v>1380000</v>
      </c>
      <c r="E23" s="146">
        <f t="shared" si="2"/>
        <v>-1065000</v>
      </c>
      <c r="F23" s="149">
        <f t="shared" si="3"/>
        <v>-0.43558282208588955</v>
      </c>
      <c r="G23" s="148">
        <f t="shared" si="4"/>
        <v>8.0477343501861073E-2</v>
      </c>
      <c r="H23" s="234" t="b">
        <v>1</v>
      </c>
      <c r="I23" s="105">
        <f>'Diretrizes - Resumo'!AL8</f>
        <v>16972819.699999999</v>
      </c>
      <c r="J23" s="104" t="b">
        <f>I23&gt;=D23</f>
        <v>1</v>
      </c>
      <c r="K23" s="106">
        <f>D23-I23</f>
        <v>-15592819.699999999</v>
      </c>
    </row>
    <row r="24" spans="1:11" x14ac:dyDescent="0.35">
      <c r="A24" s="381" t="s">
        <v>238</v>
      </c>
      <c r="B24" s="381"/>
      <c r="C24" s="139">
        <v>0</v>
      </c>
      <c r="D24" s="139">
        <v>0</v>
      </c>
      <c r="E24" s="146">
        <f t="shared" si="2"/>
        <v>0</v>
      </c>
      <c r="F24" s="149">
        <f t="shared" si="3"/>
        <v>0</v>
      </c>
      <c r="G24" s="148">
        <f t="shared" si="4"/>
        <v>0</v>
      </c>
      <c r="H24" s="234" t="b">
        <v>1</v>
      </c>
      <c r="I24" s="105"/>
      <c r="J24" s="104"/>
      <c r="K24" s="104"/>
    </row>
    <row r="25" spans="1:11" x14ac:dyDescent="0.35">
      <c r="A25" s="394" t="s">
        <v>239</v>
      </c>
      <c r="B25" s="394"/>
      <c r="C25" s="146">
        <f>SUM(C8,C22)</f>
        <v>17579473.700000003</v>
      </c>
      <c r="D25" s="146">
        <f>SUM(D8,D22)</f>
        <v>17147683.309999999</v>
      </c>
      <c r="E25" s="146">
        <f t="shared" si="2"/>
        <v>-431790.39000000432</v>
      </c>
      <c r="F25" s="149">
        <f t="shared" si="3"/>
        <v>-2.4562190960244971E-2</v>
      </c>
      <c r="G25" s="148">
        <f t="shared" si="4"/>
        <v>1</v>
      </c>
      <c r="H25" s="234" t="b">
        <v>1</v>
      </c>
      <c r="I25" s="105"/>
      <c r="J25" s="104"/>
      <c r="K25" s="104"/>
    </row>
    <row r="26" spans="1:11" x14ac:dyDescent="0.35">
      <c r="A26" s="389" t="s">
        <v>240</v>
      </c>
      <c r="B26" s="410"/>
      <c r="C26" s="410"/>
      <c r="D26" s="410"/>
      <c r="E26" s="410"/>
      <c r="F26" s="410"/>
      <c r="G26" s="390"/>
      <c r="H26" s="234"/>
      <c r="I26" s="105"/>
      <c r="J26" s="104"/>
      <c r="K26" s="104"/>
    </row>
    <row r="27" spans="1:11" x14ac:dyDescent="0.35">
      <c r="A27" s="391" t="s">
        <v>241</v>
      </c>
      <c r="B27" s="391"/>
      <c r="C27" s="146">
        <v>16397004.310000006</v>
      </c>
      <c r="D27" s="146">
        <f>SUM(D28:D30)</f>
        <v>15619654.109999998</v>
      </c>
      <c r="E27" s="146">
        <f t="shared" ref="E27" si="10">D27-C27</f>
        <v>-777350.20000000857</v>
      </c>
      <c r="F27" s="149">
        <f t="shared" ref="F27:F34" si="11">IFERROR(E27/C27,)</f>
        <v>-4.7408062186452417E-2</v>
      </c>
      <c r="G27" s="149">
        <f>IFERROR(D27/$D$34,0)</f>
        <v>0.91089005013820734</v>
      </c>
      <c r="H27" s="234" t="b">
        <v>1</v>
      </c>
      <c r="I27" s="105"/>
      <c r="J27" s="104"/>
      <c r="K27" s="104"/>
    </row>
    <row r="28" spans="1:11" x14ac:dyDescent="0.35">
      <c r="A28" s="391" t="s">
        <v>242</v>
      </c>
      <c r="B28" s="391"/>
      <c r="C28" s="147">
        <v>1149973.04</v>
      </c>
      <c r="D28" s="147">
        <f>SUMIF('Quadro Geral'!$B:$B,"p",'Quadro Geral'!I:I)</f>
        <v>745000</v>
      </c>
      <c r="E28" s="146">
        <f t="shared" ref="E28:E34" si="12">D28-C28</f>
        <v>-404973.04000000004</v>
      </c>
      <c r="F28" s="149">
        <f t="shared" si="11"/>
        <v>-0.35215872539064047</v>
      </c>
      <c r="G28" s="149">
        <f t="shared" ref="G28:G34" si="13">IFERROR(D28/$D$34,0)</f>
        <v>4.3446102107888782E-2</v>
      </c>
      <c r="H28" s="234" t="b">
        <v>1</v>
      </c>
      <c r="I28" s="105"/>
      <c r="J28" s="104"/>
      <c r="K28" s="104"/>
    </row>
    <row r="29" spans="1:11" x14ac:dyDescent="0.35">
      <c r="A29" s="392" t="s">
        <v>243</v>
      </c>
      <c r="B29" s="393"/>
      <c r="C29" s="147">
        <v>645000</v>
      </c>
      <c r="D29" s="147">
        <f>SUMIF('Quadro Geral'!$B:$B,"pe",'Quadro Geral'!I:I)</f>
        <v>1380000</v>
      </c>
      <c r="E29" s="146">
        <f t="shared" si="12"/>
        <v>735000</v>
      </c>
      <c r="F29" s="149">
        <f t="shared" si="11"/>
        <v>1.1395348837209303</v>
      </c>
      <c r="G29" s="149">
        <f t="shared" si="13"/>
        <v>8.0477343501861087E-2</v>
      </c>
      <c r="H29" s="234" t="b">
        <v>1</v>
      </c>
      <c r="I29" s="105"/>
      <c r="J29" s="104"/>
      <c r="K29" s="104"/>
    </row>
    <row r="30" spans="1:11" x14ac:dyDescent="0.35">
      <c r="A30" s="391" t="s">
        <v>244</v>
      </c>
      <c r="B30" s="391"/>
      <c r="C30" s="147">
        <v>14602031.270000005</v>
      </c>
      <c r="D30" s="147">
        <f>SUMIF('Quadro Geral'!$B:$B,"a",'Quadro Geral'!I:I)-D31-D32-D33</f>
        <v>13494654.109999998</v>
      </c>
      <c r="E30" s="146">
        <f t="shared" si="12"/>
        <v>-1107377.1600000076</v>
      </c>
      <c r="F30" s="149">
        <f t="shared" si="11"/>
        <v>-7.5837199600792743E-2</v>
      </c>
      <c r="G30" s="149">
        <f t="shared" si="13"/>
        <v>0.78696660452845757</v>
      </c>
      <c r="H30" s="234" t="b">
        <v>1</v>
      </c>
      <c r="I30" s="105"/>
      <c r="J30" s="104"/>
      <c r="K30" s="104"/>
    </row>
    <row r="31" spans="1:11" x14ac:dyDescent="0.35">
      <c r="A31" s="381" t="s">
        <v>245</v>
      </c>
      <c r="B31" s="381"/>
      <c r="C31" s="139">
        <v>177637.15</v>
      </c>
      <c r="D31" s="139">
        <v>256850.45</v>
      </c>
      <c r="E31" s="146">
        <f t="shared" si="12"/>
        <v>79213.300000000017</v>
      </c>
      <c r="F31" s="149">
        <f t="shared" si="11"/>
        <v>0.44592755513134508</v>
      </c>
      <c r="G31" s="149">
        <f t="shared" si="13"/>
        <v>1.4978726009606955E-2</v>
      </c>
      <c r="H31" s="234" t="b">
        <v>1</v>
      </c>
      <c r="I31" s="105"/>
      <c r="J31" s="104"/>
      <c r="K31" s="104"/>
    </row>
    <row r="32" spans="1:11" x14ac:dyDescent="0.35">
      <c r="A32" s="381" t="s">
        <v>246</v>
      </c>
      <c r="B32" s="381"/>
      <c r="C32" s="139">
        <v>944832.24</v>
      </c>
      <c r="D32" s="139">
        <v>1211178.75</v>
      </c>
      <c r="E32" s="146">
        <f t="shared" si="12"/>
        <v>266346.51</v>
      </c>
      <c r="F32" s="149">
        <f t="shared" si="11"/>
        <v>0.28189820237294189</v>
      </c>
      <c r="G32" s="149">
        <f t="shared" si="13"/>
        <v>7.0632208917322276E-2</v>
      </c>
      <c r="H32" s="234" t="b">
        <v>1</v>
      </c>
      <c r="I32" s="105"/>
      <c r="J32" s="104"/>
      <c r="K32" s="104"/>
    </row>
    <row r="33" spans="1:11" x14ac:dyDescent="0.35">
      <c r="A33" s="381" t="s">
        <v>247</v>
      </c>
      <c r="B33" s="381"/>
      <c r="C33" s="139">
        <v>60000</v>
      </c>
      <c r="D33" s="139">
        <v>60000</v>
      </c>
      <c r="E33" s="146">
        <f t="shared" si="12"/>
        <v>0</v>
      </c>
      <c r="F33" s="149">
        <f t="shared" si="11"/>
        <v>0</v>
      </c>
      <c r="G33" s="149">
        <f t="shared" si="13"/>
        <v>3.4990149348635259E-3</v>
      </c>
      <c r="H33" s="234" t="b">
        <v>1</v>
      </c>
      <c r="I33" s="105"/>
      <c r="J33" s="104"/>
      <c r="K33" s="104"/>
    </row>
    <row r="34" spans="1:11" x14ac:dyDescent="0.35">
      <c r="A34" s="394" t="s">
        <v>248</v>
      </c>
      <c r="B34" s="394"/>
      <c r="C34" s="146">
        <v>17579473.700000007</v>
      </c>
      <c r="D34" s="146">
        <f>SUM(D27,D31:D33)</f>
        <v>17147683.309999995</v>
      </c>
      <c r="E34" s="146">
        <f t="shared" si="12"/>
        <v>-431790.39000001177</v>
      </c>
      <c r="F34" s="149">
        <f t="shared" si="11"/>
        <v>-2.4562190960245391E-2</v>
      </c>
      <c r="G34" s="149">
        <f t="shared" si="13"/>
        <v>1</v>
      </c>
      <c r="H34" s="234" t="b">
        <v>1</v>
      </c>
      <c r="I34" s="105"/>
      <c r="J34" s="104"/>
      <c r="K34" s="104"/>
    </row>
    <row r="35" spans="1:11" x14ac:dyDescent="0.35">
      <c r="A35" s="394" t="s">
        <v>249</v>
      </c>
      <c r="B35" s="394"/>
      <c r="C35" s="146">
        <f>C25-C34</f>
        <v>0</v>
      </c>
      <c r="D35" s="146">
        <f t="shared" ref="D35" si="14">D25-D34</f>
        <v>0</v>
      </c>
      <c r="E35" s="146">
        <f t="shared" ref="E35" si="15">E25-E34</f>
        <v>7.4505805969238281E-9</v>
      </c>
      <c r="F35" s="149"/>
      <c r="G35" s="149"/>
      <c r="H35" s="234" t="b">
        <v>1</v>
      </c>
      <c r="I35" s="105"/>
      <c r="J35" s="104"/>
      <c r="K35" s="104"/>
    </row>
    <row r="36" spans="1:11" hidden="1" x14ac:dyDescent="0.35">
      <c r="A36" s="82"/>
      <c r="B36" s="82"/>
      <c r="C36" s="132" t="b">
        <f>C34='Quadro Geral'!H55</f>
        <v>1</v>
      </c>
      <c r="D36" s="132" t="b">
        <f>D34='Quadro Geral'!I55</f>
        <v>1</v>
      </c>
      <c r="E36" s="266"/>
      <c r="F36" s="132"/>
      <c r="G36" s="83"/>
    </row>
    <row r="37" spans="1:11" x14ac:dyDescent="0.35">
      <c r="A37" s="83"/>
      <c r="B37" s="83"/>
      <c r="C37" s="293"/>
      <c r="D37" s="293"/>
      <c r="E37" s="295"/>
      <c r="F37" s="293"/>
      <c r="G37" s="83"/>
    </row>
    <row r="38" spans="1:11" x14ac:dyDescent="0.35">
      <c r="A38" s="406" t="s">
        <v>250</v>
      </c>
      <c r="B38" s="407"/>
      <c r="C38" s="407"/>
      <c r="D38" s="407"/>
      <c r="E38" s="407"/>
      <c r="F38" s="407"/>
      <c r="G38" s="407"/>
      <c r="H38" s="253"/>
    </row>
    <row r="39" spans="1:11" x14ac:dyDescent="0.35">
      <c r="A39" s="119" t="s">
        <v>251</v>
      </c>
      <c r="B39" s="402" t="s">
        <v>252</v>
      </c>
      <c r="C39" s="403"/>
      <c r="D39" s="404"/>
      <c r="E39" s="402" t="s">
        <v>253</v>
      </c>
      <c r="F39" s="403"/>
      <c r="G39" s="404"/>
    </row>
    <row r="40" spans="1:11" ht="46.5" x14ac:dyDescent="0.35">
      <c r="A40" s="119"/>
      <c r="B40" s="120" t="s">
        <v>254</v>
      </c>
      <c r="C40" s="120" t="s">
        <v>255</v>
      </c>
      <c r="D40" s="120" t="s">
        <v>256</v>
      </c>
      <c r="E40" s="120" t="s">
        <v>254</v>
      </c>
      <c r="F40" s="120" t="s">
        <v>255</v>
      </c>
      <c r="G40" s="120" t="s">
        <v>256</v>
      </c>
    </row>
    <row r="41" spans="1:11" x14ac:dyDescent="0.35">
      <c r="A41" s="107" t="s">
        <v>257</v>
      </c>
      <c r="B41" s="150">
        <f>C8</f>
        <v>15134473.700000001</v>
      </c>
      <c r="C41" s="150">
        <f>D8</f>
        <v>15767683.309999999</v>
      </c>
      <c r="D41" s="153">
        <f>IFERROR(C41/B41-1,)</f>
        <v>4.1838891959619096E-2</v>
      </c>
      <c r="E41" s="151">
        <v>15779473.700000005</v>
      </c>
      <c r="F41" s="150">
        <f>'Anexo 3. Elemento de Despesas'!O49</f>
        <v>16947683.309999995</v>
      </c>
      <c r="G41" s="153">
        <f>IFERROR(F41/E41-1,)</f>
        <v>7.4033496440378155E-2</v>
      </c>
    </row>
    <row r="42" spans="1:11" x14ac:dyDescent="0.35">
      <c r="A42" s="107" t="s">
        <v>258</v>
      </c>
      <c r="B42" s="150">
        <f>C22</f>
        <v>2445000</v>
      </c>
      <c r="C42" s="150">
        <f>D22</f>
        <v>1380000</v>
      </c>
      <c r="D42" s="153">
        <f t="shared" ref="D42:D43" si="16">IFERROR(C42/B42-1,)</f>
        <v>-0.43558282208588961</v>
      </c>
      <c r="E42" s="151">
        <v>1800000</v>
      </c>
      <c r="F42" s="150">
        <f>'Anexo 3. Elemento de Despesas'!P49</f>
        <v>200000</v>
      </c>
      <c r="G42" s="153">
        <f t="shared" ref="G42:G43" si="17">IFERROR(F42/E42-1,)</f>
        <v>-0.88888888888888884</v>
      </c>
    </row>
    <row r="43" spans="1:11" x14ac:dyDescent="0.35">
      <c r="A43" s="155" t="s">
        <v>259</v>
      </c>
      <c r="B43" s="156">
        <f>SUM(B41:B42)</f>
        <v>17579473.700000003</v>
      </c>
      <c r="C43" s="156">
        <f>SUM(C41:C42)</f>
        <v>17147683.309999999</v>
      </c>
      <c r="D43" s="154">
        <f t="shared" si="16"/>
        <v>-2.4562190960244923E-2</v>
      </c>
      <c r="E43" s="156">
        <f>SUM(E41:E42)</f>
        <v>17579473.700000003</v>
      </c>
      <c r="F43" s="156">
        <f>SUM(F41:F42)</f>
        <v>17147683.309999995</v>
      </c>
      <c r="G43" s="154">
        <f t="shared" si="17"/>
        <v>-2.4562190960245145E-2</v>
      </c>
    </row>
    <row r="44" spans="1:11" x14ac:dyDescent="0.35">
      <c r="A44" s="408"/>
      <c r="B44" s="409"/>
      <c r="C44" s="409"/>
      <c r="D44" s="409"/>
      <c r="E44" s="409"/>
      <c r="F44" s="409"/>
      <c r="G44" s="409"/>
    </row>
    <row r="45" spans="1:11" ht="31" x14ac:dyDescent="0.35">
      <c r="A45" s="120" t="s">
        <v>227</v>
      </c>
      <c r="B45" s="120" t="s">
        <v>260</v>
      </c>
      <c r="C45" s="120" t="s">
        <v>261</v>
      </c>
      <c r="D45" s="120" t="s">
        <v>262</v>
      </c>
    </row>
    <row r="46" spans="1:11" x14ac:dyDescent="0.35">
      <c r="A46" s="119" t="s">
        <v>263</v>
      </c>
      <c r="B46" s="152">
        <f>D8</f>
        <v>15767683.309999999</v>
      </c>
      <c r="C46" s="152">
        <f>D22</f>
        <v>1380000</v>
      </c>
      <c r="D46" s="152">
        <f>SUM(B46:C46)</f>
        <v>17147683.309999999</v>
      </c>
    </row>
    <row r="47" spans="1:11" x14ac:dyDescent="0.35">
      <c r="A47" s="119" t="s">
        <v>264</v>
      </c>
      <c r="B47" s="152">
        <f>'Anexo 3. Elemento de Despesas'!O49</f>
        <v>16947683.309999995</v>
      </c>
      <c r="C47" s="152">
        <f>'Anexo 3. Elemento de Despesas'!P49</f>
        <v>200000</v>
      </c>
      <c r="D47" s="152">
        <f>SUM(B47:C47)</f>
        <v>17147683.309999995</v>
      </c>
      <c r="H47" s="86"/>
    </row>
    <row r="48" spans="1:11" x14ac:dyDescent="0.35">
      <c r="A48" s="121" t="s">
        <v>249</v>
      </c>
      <c r="B48" s="157">
        <f>B46-B47</f>
        <v>-1179999.9999999963</v>
      </c>
      <c r="C48" s="157">
        <f t="shared" ref="C48:D48" si="18">C46-C47</f>
        <v>1180000</v>
      </c>
      <c r="D48" s="157">
        <f t="shared" si="18"/>
        <v>0</v>
      </c>
    </row>
    <row r="49" spans="1:7" x14ac:dyDescent="0.35"/>
    <row r="50" spans="1:7" ht="18" customHeight="1" x14ac:dyDescent="0.35">
      <c r="A50" s="120" t="s">
        <v>265</v>
      </c>
      <c r="B50" s="120" t="s">
        <v>266</v>
      </c>
    </row>
    <row r="51" spans="1:7" x14ac:dyDescent="0.35">
      <c r="A51" s="120" t="s">
        <v>267</v>
      </c>
      <c r="B51" s="152">
        <f>'Diretrizes - Resumo'!AL8</f>
        <v>16972819.699999999</v>
      </c>
      <c r="C51" s="199"/>
    </row>
    <row r="52" spans="1:7" x14ac:dyDescent="0.35">
      <c r="A52" s="120" t="s">
        <v>268</v>
      </c>
      <c r="B52" s="152">
        <f>C47</f>
        <v>200000</v>
      </c>
    </row>
    <row r="53" spans="1:7" x14ac:dyDescent="0.35">
      <c r="A53" s="120" t="s">
        <v>269</v>
      </c>
      <c r="B53" s="111">
        <f>IFERROR(B52/B51,)</f>
        <v>1.1783545900743882E-2</v>
      </c>
    </row>
    <row r="54" spans="1:7" x14ac:dyDescent="0.35">
      <c r="A54" s="120" t="s">
        <v>270</v>
      </c>
      <c r="B54" s="296">
        <f>D29-B52</f>
        <v>1180000</v>
      </c>
    </row>
    <row r="55" spans="1:7" x14ac:dyDescent="0.35">
      <c r="A55" s="120" t="s">
        <v>271</v>
      </c>
      <c r="B55" s="111">
        <f>IFERROR(B54/B51,)</f>
        <v>6.9522920814388905E-2</v>
      </c>
    </row>
    <row r="56" spans="1:7" x14ac:dyDescent="0.35">
      <c r="A56" s="120" t="s">
        <v>272</v>
      </c>
      <c r="B56" s="152">
        <f>B51-B52-B54</f>
        <v>15592819.699999999</v>
      </c>
    </row>
    <row r="57" spans="1:7" x14ac:dyDescent="0.35">
      <c r="A57" s="84"/>
      <c r="B57" s="84"/>
    </row>
    <row r="58" spans="1:7" x14ac:dyDescent="0.35">
      <c r="A58" s="396" t="s">
        <v>224</v>
      </c>
      <c r="B58" s="397"/>
      <c r="C58" s="397"/>
      <c r="D58" s="397"/>
      <c r="E58" s="397"/>
      <c r="F58" s="397"/>
      <c r="G58" s="398"/>
    </row>
    <row r="59" spans="1:7" ht="72" customHeight="1" x14ac:dyDescent="0.35">
      <c r="A59" s="399"/>
      <c r="B59" s="400"/>
      <c r="C59" s="400"/>
      <c r="D59" s="400"/>
      <c r="E59" s="400"/>
      <c r="F59" s="400"/>
      <c r="G59" s="401"/>
    </row>
  </sheetData>
  <mergeCells count="46">
    <mergeCell ref="A58:G58"/>
    <mergeCell ref="A59:G59"/>
    <mergeCell ref="E39:G39"/>
    <mergeCell ref="B39:D39"/>
    <mergeCell ref="A4:E4"/>
    <mergeCell ref="A38:G38"/>
    <mergeCell ref="A44:G44"/>
    <mergeCell ref="A32:B32"/>
    <mergeCell ref="A23:B23"/>
    <mergeCell ref="A12:B12"/>
    <mergeCell ref="A13:B13"/>
    <mergeCell ref="A14:B14"/>
    <mergeCell ref="A26:G26"/>
    <mergeCell ref="G5:G7"/>
    <mergeCell ref="F6:F7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A28:B28"/>
    <mergeCell ref="A30:B30"/>
    <mergeCell ref="A15:B15"/>
    <mergeCell ref="A16:B16"/>
    <mergeCell ref="A31:B31"/>
    <mergeCell ref="A24:B24"/>
    <mergeCell ref="A25:B25"/>
    <mergeCell ref="E6:E7"/>
    <mergeCell ref="D5:D7"/>
    <mergeCell ref="C5:C7"/>
    <mergeCell ref="A1:G1"/>
    <mergeCell ref="A33:B33"/>
    <mergeCell ref="A2:G2"/>
    <mergeCell ref="A3:G3"/>
    <mergeCell ref="E5:F5"/>
    <mergeCell ref="A5:B6"/>
    <mergeCell ref="A7:B7"/>
    <mergeCell ref="A27:B27"/>
    <mergeCell ref="A29:B29"/>
    <mergeCell ref="A17:B17"/>
    <mergeCell ref="A10:B10"/>
    <mergeCell ref="A11:B11"/>
  </mergeCells>
  <phoneticPr fontId="18" type="noConversion"/>
  <conditionalFormatting sqref="C36:F37">
    <cfRule type="cellIs" dxfId="17" priority="8" operator="equal">
      <formula>TRUE</formula>
    </cfRule>
  </conditionalFormatting>
  <conditionalFormatting sqref="J9:J18">
    <cfRule type="cellIs" dxfId="16" priority="6" operator="equal">
      <formula>TRUE</formula>
    </cfRule>
    <cfRule type="cellIs" dxfId="15" priority="7" operator="equal">
      <formula>FALSE</formula>
    </cfRule>
  </conditionalFormatting>
  <conditionalFormatting sqref="J20">
    <cfRule type="cellIs" dxfId="14" priority="1" operator="equal">
      <formula>TRUE</formula>
    </cfRule>
    <cfRule type="cellIs" dxfId="13" priority="2" operator="equal">
      <formula>FALSE</formula>
    </cfRule>
  </conditionalFormatting>
  <conditionalFormatting sqref="J23">
    <cfRule type="cellIs" dxfId="12" priority="3" operator="equal">
      <formula>FALSE</formula>
    </cfRule>
    <cfRule type="cellIs" dxfId="11" priority="4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74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6">
    <tabColor rgb="FF92D050"/>
    <pageSetUpPr fitToPage="1"/>
  </sheetPr>
  <dimension ref="A1:WVP66"/>
  <sheetViews>
    <sheetView topLeftCell="B1" zoomScale="90" zoomScaleNormal="90" zoomScaleSheetLayoutView="100" workbookViewId="0">
      <selection activeCell="H20" sqref="H20"/>
    </sheetView>
  </sheetViews>
  <sheetFormatPr defaultColWidth="0" defaultRowHeight="15.5" zeroHeight="1" x14ac:dyDescent="0.35"/>
  <cols>
    <col min="1" max="1" width="11" style="51" customWidth="1"/>
    <col min="2" max="2" width="62.81640625" style="51" customWidth="1"/>
    <col min="3" max="3" width="20.1796875" style="51" customWidth="1"/>
    <col min="4" max="5" width="30.453125" style="51" customWidth="1"/>
    <col min="6" max="7" width="19.54296875" style="51" customWidth="1"/>
    <col min="8" max="8" width="20" style="160" customWidth="1"/>
    <col min="9" max="245" width="9.1796875" style="51" hidden="1"/>
    <col min="246" max="246" width="35.54296875" style="51" hidden="1"/>
    <col min="247" max="247" width="23" style="51" hidden="1"/>
    <col min="248" max="248" width="17.7265625" style="51" hidden="1"/>
    <col min="249" max="249" width="18.453125" style="51" hidden="1"/>
    <col min="250" max="251" width="13.1796875" style="51" hidden="1"/>
    <col min="252" max="252" width="10.7265625" style="51" hidden="1"/>
    <col min="253" max="253" width="40.81640625" style="51" hidden="1"/>
    <col min="254" max="254" width="34.1796875" style="51" hidden="1"/>
    <col min="255" max="255" width="16" style="51" hidden="1"/>
    <col min="256" max="256" width="15.7265625" style="51" hidden="1"/>
    <col min="257" max="257" width="17.453125" style="51" hidden="1"/>
    <col min="258" max="258" width="10.7265625" style="51" hidden="1"/>
    <col min="259" max="259" width="13" style="51" hidden="1"/>
    <col min="260" max="260" width="16.7265625" style="51" hidden="1"/>
    <col min="261" max="501" width="9.1796875" style="51" hidden="1"/>
    <col min="502" max="502" width="35.54296875" style="51" hidden="1"/>
    <col min="503" max="503" width="23" style="51" hidden="1"/>
    <col min="504" max="504" width="17.7265625" style="51" hidden="1"/>
    <col min="505" max="505" width="18.453125" style="51" hidden="1"/>
    <col min="506" max="507" width="13.1796875" style="51" hidden="1"/>
    <col min="508" max="508" width="10.7265625" style="51" hidden="1"/>
    <col min="509" max="509" width="40.81640625" style="51" hidden="1"/>
    <col min="510" max="510" width="34.1796875" style="51" hidden="1"/>
    <col min="511" max="511" width="16" style="51" hidden="1"/>
    <col min="512" max="512" width="15.7265625" style="51" hidden="1"/>
    <col min="513" max="513" width="17.453125" style="51" hidden="1"/>
    <col min="514" max="514" width="10.7265625" style="51" hidden="1"/>
    <col min="515" max="515" width="13" style="51" hidden="1"/>
    <col min="516" max="516" width="16.7265625" style="51" hidden="1"/>
    <col min="517" max="757" width="9.1796875" style="51" hidden="1"/>
    <col min="758" max="758" width="35.54296875" style="51" hidden="1"/>
    <col min="759" max="759" width="23" style="51" hidden="1"/>
    <col min="760" max="760" width="17.7265625" style="51" hidden="1"/>
    <col min="761" max="761" width="18.453125" style="51" hidden="1"/>
    <col min="762" max="763" width="13.1796875" style="51" hidden="1"/>
    <col min="764" max="764" width="10.7265625" style="51" hidden="1"/>
    <col min="765" max="765" width="40.81640625" style="51" hidden="1"/>
    <col min="766" max="766" width="34.1796875" style="51" hidden="1"/>
    <col min="767" max="767" width="16" style="51" hidden="1"/>
    <col min="768" max="768" width="15.7265625" style="51" hidden="1"/>
    <col min="769" max="769" width="17.453125" style="51" hidden="1"/>
    <col min="770" max="770" width="10.7265625" style="51" hidden="1"/>
    <col min="771" max="771" width="13" style="51" hidden="1"/>
    <col min="772" max="772" width="16.7265625" style="51" hidden="1"/>
    <col min="773" max="1013" width="9.1796875" style="51" hidden="1"/>
    <col min="1014" max="1014" width="35.54296875" style="51" hidden="1"/>
    <col min="1015" max="1015" width="23" style="51" hidden="1"/>
    <col min="1016" max="1016" width="17.7265625" style="51" hidden="1"/>
    <col min="1017" max="1017" width="18.453125" style="51" hidden="1"/>
    <col min="1018" max="1019" width="13.1796875" style="51" hidden="1"/>
    <col min="1020" max="1020" width="10.7265625" style="51" hidden="1"/>
    <col min="1021" max="1021" width="40.81640625" style="51" hidden="1"/>
    <col min="1022" max="1022" width="34.1796875" style="51" hidden="1"/>
    <col min="1023" max="1023" width="16" style="51" hidden="1"/>
    <col min="1024" max="1024" width="15.7265625" style="51" hidden="1"/>
    <col min="1025" max="1025" width="17.453125" style="51" hidden="1"/>
    <col min="1026" max="1026" width="10.7265625" style="51" hidden="1"/>
    <col min="1027" max="1027" width="13" style="51" hidden="1"/>
    <col min="1028" max="1028" width="16.7265625" style="51" hidden="1"/>
    <col min="1029" max="1269" width="9.1796875" style="51" hidden="1"/>
    <col min="1270" max="1270" width="35.54296875" style="51" hidden="1"/>
    <col min="1271" max="1271" width="23" style="51" hidden="1"/>
    <col min="1272" max="1272" width="17.7265625" style="51" hidden="1"/>
    <col min="1273" max="1273" width="18.453125" style="51" hidden="1"/>
    <col min="1274" max="1275" width="13.1796875" style="51" hidden="1"/>
    <col min="1276" max="1276" width="10.7265625" style="51" hidden="1"/>
    <col min="1277" max="1277" width="40.81640625" style="51" hidden="1"/>
    <col min="1278" max="1278" width="34.1796875" style="51" hidden="1"/>
    <col min="1279" max="1279" width="16" style="51" hidden="1"/>
    <col min="1280" max="1280" width="15.7265625" style="51" hidden="1"/>
    <col min="1281" max="1281" width="17.453125" style="51" hidden="1"/>
    <col min="1282" max="1282" width="10.7265625" style="51" hidden="1"/>
    <col min="1283" max="1283" width="13" style="51" hidden="1"/>
    <col min="1284" max="1284" width="16.7265625" style="51" hidden="1"/>
    <col min="1285" max="1525" width="9.1796875" style="51" hidden="1"/>
    <col min="1526" max="1526" width="35.54296875" style="51" hidden="1"/>
    <col min="1527" max="1527" width="23" style="51" hidden="1"/>
    <col min="1528" max="1528" width="17.7265625" style="51" hidden="1"/>
    <col min="1529" max="1529" width="18.453125" style="51" hidden="1"/>
    <col min="1530" max="1531" width="13.1796875" style="51" hidden="1"/>
    <col min="1532" max="1532" width="10.7265625" style="51" hidden="1"/>
    <col min="1533" max="1533" width="40.81640625" style="51" hidden="1"/>
    <col min="1534" max="1534" width="34.1796875" style="51" hidden="1"/>
    <col min="1535" max="1535" width="16" style="51" hidden="1"/>
    <col min="1536" max="1536" width="15.7265625" style="51" hidden="1"/>
    <col min="1537" max="1537" width="17.453125" style="51" hidden="1"/>
    <col min="1538" max="1538" width="10.7265625" style="51" hidden="1"/>
    <col min="1539" max="1539" width="13" style="51" hidden="1"/>
    <col min="1540" max="1540" width="16.7265625" style="51" hidden="1"/>
    <col min="1541" max="1781" width="9.1796875" style="51" hidden="1"/>
    <col min="1782" max="1782" width="35.54296875" style="51" hidden="1"/>
    <col min="1783" max="1783" width="23" style="51" hidden="1"/>
    <col min="1784" max="1784" width="17.7265625" style="51" hidden="1"/>
    <col min="1785" max="1785" width="18.453125" style="51" hidden="1"/>
    <col min="1786" max="1787" width="13.1796875" style="51" hidden="1"/>
    <col min="1788" max="1788" width="10.7265625" style="51" hidden="1"/>
    <col min="1789" max="1789" width="40.81640625" style="51" hidden="1"/>
    <col min="1790" max="1790" width="34.1796875" style="51" hidden="1"/>
    <col min="1791" max="1791" width="16" style="51" hidden="1"/>
    <col min="1792" max="1792" width="15.7265625" style="51" hidden="1"/>
    <col min="1793" max="1793" width="17.453125" style="51" hidden="1"/>
    <col min="1794" max="1794" width="10.7265625" style="51" hidden="1"/>
    <col min="1795" max="1795" width="13" style="51" hidden="1"/>
    <col min="1796" max="1796" width="16.7265625" style="51" hidden="1"/>
    <col min="1797" max="2037" width="9.1796875" style="51" hidden="1"/>
    <col min="2038" max="2038" width="35.54296875" style="51" hidden="1"/>
    <col min="2039" max="2039" width="23" style="51" hidden="1"/>
    <col min="2040" max="2040" width="17.7265625" style="51" hidden="1"/>
    <col min="2041" max="2041" width="18.453125" style="51" hidden="1"/>
    <col min="2042" max="2043" width="13.1796875" style="51" hidden="1"/>
    <col min="2044" max="2044" width="10.7265625" style="51" hidden="1"/>
    <col min="2045" max="2045" width="40.81640625" style="51" hidden="1"/>
    <col min="2046" max="2046" width="34.1796875" style="51" hidden="1"/>
    <col min="2047" max="2047" width="16" style="51" hidden="1"/>
    <col min="2048" max="2048" width="15.7265625" style="51" hidden="1"/>
    <col min="2049" max="2049" width="17.453125" style="51" hidden="1"/>
    <col min="2050" max="2050" width="10.7265625" style="51" hidden="1"/>
    <col min="2051" max="2051" width="13" style="51" hidden="1"/>
    <col min="2052" max="2052" width="16.7265625" style="51" hidden="1"/>
    <col min="2053" max="2293" width="9.1796875" style="51" hidden="1"/>
    <col min="2294" max="2294" width="35.54296875" style="51" hidden="1"/>
    <col min="2295" max="2295" width="23" style="51" hidden="1"/>
    <col min="2296" max="2296" width="17.7265625" style="51" hidden="1"/>
    <col min="2297" max="2297" width="18.453125" style="51" hidden="1"/>
    <col min="2298" max="2299" width="13.1796875" style="51" hidden="1"/>
    <col min="2300" max="2300" width="10.7265625" style="51" hidden="1"/>
    <col min="2301" max="2301" width="40.81640625" style="51" hidden="1"/>
    <col min="2302" max="2302" width="34.1796875" style="51" hidden="1"/>
    <col min="2303" max="2303" width="16" style="51" hidden="1"/>
    <col min="2304" max="2304" width="15.7265625" style="51" hidden="1"/>
    <col min="2305" max="2305" width="17.453125" style="51" hidden="1"/>
    <col min="2306" max="2306" width="10.7265625" style="51" hidden="1"/>
    <col min="2307" max="2307" width="13" style="51" hidden="1"/>
    <col min="2308" max="2308" width="16.7265625" style="51" hidden="1"/>
    <col min="2309" max="2549" width="9.1796875" style="51" hidden="1"/>
    <col min="2550" max="2550" width="35.54296875" style="51" hidden="1"/>
    <col min="2551" max="2551" width="23" style="51" hidden="1"/>
    <col min="2552" max="2552" width="17.7265625" style="51" hidden="1"/>
    <col min="2553" max="2553" width="18.453125" style="51" hidden="1"/>
    <col min="2554" max="2555" width="13.1796875" style="51" hidden="1"/>
    <col min="2556" max="2556" width="10.7265625" style="51" hidden="1"/>
    <col min="2557" max="2557" width="40.81640625" style="51" hidden="1"/>
    <col min="2558" max="2558" width="34.1796875" style="51" hidden="1"/>
    <col min="2559" max="2559" width="16" style="51" hidden="1"/>
    <col min="2560" max="2560" width="15.7265625" style="51" hidden="1"/>
    <col min="2561" max="2561" width="17.453125" style="51" hidden="1"/>
    <col min="2562" max="2562" width="10.7265625" style="51" hidden="1"/>
    <col min="2563" max="2563" width="13" style="51" hidden="1"/>
    <col min="2564" max="2564" width="16.7265625" style="51" hidden="1"/>
    <col min="2565" max="2805" width="9.1796875" style="51" hidden="1"/>
    <col min="2806" max="2806" width="35.54296875" style="51" hidden="1"/>
    <col min="2807" max="2807" width="23" style="51" hidden="1"/>
    <col min="2808" max="2808" width="17.7265625" style="51" hidden="1"/>
    <col min="2809" max="2809" width="18.453125" style="51" hidden="1"/>
    <col min="2810" max="2811" width="13.1796875" style="51" hidden="1"/>
    <col min="2812" max="2812" width="10.7265625" style="51" hidden="1"/>
    <col min="2813" max="2813" width="40.81640625" style="51" hidden="1"/>
    <col min="2814" max="2814" width="34.1796875" style="51" hidden="1"/>
    <col min="2815" max="2815" width="16" style="51" hidden="1"/>
    <col min="2816" max="2816" width="15.7265625" style="51" hidden="1"/>
    <col min="2817" max="2817" width="17.453125" style="51" hidden="1"/>
    <col min="2818" max="2818" width="10.7265625" style="51" hidden="1"/>
    <col min="2819" max="2819" width="13" style="51" hidden="1"/>
    <col min="2820" max="2820" width="16.7265625" style="51" hidden="1"/>
    <col min="2821" max="3061" width="9.1796875" style="51" hidden="1"/>
    <col min="3062" max="3062" width="35.54296875" style="51" hidden="1"/>
    <col min="3063" max="3063" width="23" style="51" hidden="1"/>
    <col min="3064" max="3064" width="17.7265625" style="51" hidden="1"/>
    <col min="3065" max="3065" width="18.453125" style="51" hidden="1"/>
    <col min="3066" max="3067" width="13.1796875" style="51" hidden="1"/>
    <col min="3068" max="3068" width="10.7265625" style="51" hidden="1"/>
    <col min="3069" max="3069" width="40.81640625" style="51" hidden="1"/>
    <col min="3070" max="3070" width="34.1796875" style="51" hidden="1"/>
    <col min="3071" max="3071" width="16" style="51" hidden="1"/>
    <col min="3072" max="3072" width="15.7265625" style="51" hidden="1"/>
    <col min="3073" max="3073" width="17.453125" style="51" hidden="1"/>
    <col min="3074" max="3074" width="10.7265625" style="51" hidden="1"/>
    <col min="3075" max="3075" width="13" style="51" hidden="1"/>
    <col min="3076" max="3076" width="16.7265625" style="51" hidden="1"/>
    <col min="3077" max="3317" width="9.1796875" style="51" hidden="1"/>
    <col min="3318" max="3318" width="35.54296875" style="51" hidden="1"/>
    <col min="3319" max="3319" width="23" style="51" hidden="1"/>
    <col min="3320" max="3320" width="17.7265625" style="51" hidden="1"/>
    <col min="3321" max="3321" width="18.453125" style="51" hidden="1"/>
    <col min="3322" max="3323" width="13.1796875" style="51" hidden="1"/>
    <col min="3324" max="3324" width="10.7265625" style="51" hidden="1"/>
    <col min="3325" max="3325" width="40.81640625" style="51" hidden="1"/>
    <col min="3326" max="3326" width="34.1796875" style="51" hidden="1"/>
    <col min="3327" max="3327" width="16" style="51" hidden="1"/>
    <col min="3328" max="3328" width="15.7265625" style="51" hidden="1"/>
    <col min="3329" max="3329" width="17.453125" style="51" hidden="1"/>
    <col min="3330" max="3330" width="10.7265625" style="51" hidden="1"/>
    <col min="3331" max="3331" width="13" style="51" hidden="1"/>
    <col min="3332" max="3332" width="16.7265625" style="51" hidden="1"/>
    <col min="3333" max="3573" width="9.1796875" style="51" hidden="1"/>
    <col min="3574" max="3574" width="35.54296875" style="51" hidden="1"/>
    <col min="3575" max="3575" width="23" style="51" hidden="1"/>
    <col min="3576" max="3576" width="17.7265625" style="51" hidden="1"/>
    <col min="3577" max="3577" width="18.453125" style="51" hidden="1"/>
    <col min="3578" max="3579" width="13.1796875" style="51" hidden="1"/>
    <col min="3580" max="3580" width="10.7265625" style="51" hidden="1"/>
    <col min="3581" max="3581" width="40.81640625" style="51" hidden="1"/>
    <col min="3582" max="3582" width="34.1796875" style="51" hidden="1"/>
    <col min="3583" max="3583" width="16" style="51" hidden="1"/>
    <col min="3584" max="3584" width="15.7265625" style="51" hidden="1"/>
    <col min="3585" max="3585" width="17.453125" style="51" hidden="1"/>
    <col min="3586" max="3586" width="10.7265625" style="51" hidden="1"/>
    <col min="3587" max="3587" width="13" style="51" hidden="1"/>
    <col min="3588" max="3588" width="16.7265625" style="51" hidden="1"/>
    <col min="3589" max="3829" width="9.1796875" style="51" hidden="1"/>
    <col min="3830" max="3830" width="35.54296875" style="51" hidden="1"/>
    <col min="3831" max="3831" width="23" style="51" hidden="1"/>
    <col min="3832" max="3832" width="17.7265625" style="51" hidden="1"/>
    <col min="3833" max="3833" width="18.453125" style="51" hidden="1"/>
    <col min="3834" max="3835" width="13.1796875" style="51" hidden="1"/>
    <col min="3836" max="3836" width="10.7265625" style="51" hidden="1"/>
    <col min="3837" max="3837" width="40.81640625" style="51" hidden="1"/>
    <col min="3838" max="3838" width="34.1796875" style="51" hidden="1"/>
    <col min="3839" max="3839" width="16" style="51" hidden="1"/>
    <col min="3840" max="3840" width="15.7265625" style="51" hidden="1"/>
    <col min="3841" max="3841" width="17.453125" style="51" hidden="1"/>
    <col min="3842" max="3842" width="10.7265625" style="51" hidden="1"/>
    <col min="3843" max="3843" width="13" style="51" hidden="1"/>
    <col min="3844" max="3844" width="16.7265625" style="51" hidden="1"/>
    <col min="3845" max="4085" width="9.1796875" style="51" hidden="1"/>
    <col min="4086" max="4086" width="35.54296875" style="51" hidden="1"/>
    <col min="4087" max="4087" width="23" style="51" hidden="1"/>
    <col min="4088" max="4088" width="17.7265625" style="51" hidden="1"/>
    <col min="4089" max="4089" width="18.453125" style="51" hidden="1"/>
    <col min="4090" max="4091" width="13.1796875" style="51" hidden="1"/>
    <col min="4092" max="4092" width="10.7265625" style="51" hidden="1"/>
    <col min="4093" max="4093" width="40.81640625" style="51" hidden="1"/>
    <col min="4094" max="4094" width="34.1796875" style="51" hidden="1"/>
    <col min="4095" max="4095" width="16" style="51" hidden="1"/>
    <col min="4096" max="4096" width="15.7265625" style="51" hidden="1"/>
    <col min="4097" max="4097" width="17.453125" style="51" hidden="1"/>
    <col min="4098" max="4098" width="10.7265625" style="51" hidden="1"/>
    <col min="4099" max="4099" width="13" style="51" hidden="1"/>
    <col min="4100" max="4100" width="16.7265625" style="51" hidden="1"/>
    <col min="4101" max="4341" width="9.1796875" style="51" hidden="1"/>
    <col min="4342" max="4342" width="35.54296875" style="51" hidden="1"/>
    <col min="4343" max="4343" width="23" style="51" hidden="1"/>
    <col min="4344" max="4344" width="17.7265625" style="51" hidden="1"/>
    <col min="4345" max="4345" width="18.453125" style="51" hidden="1"/>
    <col min="4346" max="4347" width="13.1796875" style="51" hidden="1"/>
    <col min="4348" max="4348" width="10.7265625" style="51" hidden="1"/>
    <col min="4349" max="4349" width="40.81640625" style="51" hidden="1"/>
    <col min="4350" max="4350" width="34.1796875" style="51" hidden="1"/>
    <col min="4351" max="4351" width="16" style="51" hidden="1"/>
    <col min="4352" max="4352" width="15.7265625" style="51" hidden="1"/>
    <col min="4353" max="4353" width="17.453125" style="51" hidden="1"/>
    <col min="4354" max="4354" width="10.7265625" style="51" hidden="1"/>
    <col min="4355" max="4355" width="13" style="51" hidden="1"/>
    <col min="4356" max="4356" width="16.7265625" style="51" hidden="1"/>
    <col min="4357" max="4597" width="9.1796875" style="51" hidden="1"/>
    <col min="4598" max="4598" width="35.54296875" style="51" hidden="1"/>
    <col min="4599" max="4599" width="23" style="51" hidden="1"/>
    <col min="4600" max="4600" width="17.7265625" style="51" hidden="1"/>
    <col min="4601" max="4601" width="18.453125" style="51" hidden="1"/>
    <col min="4602" max="4603" width="13.1796875" style="51" hidden="1"/>
    <col min="4604" max="4604" width="10.7265625" style="51" hidden="1"/>
    <col min="4605" max="4605" width="40.81640625" style="51" hidden="1"/>
    <col min="4606" max="4606" width="34.1796875" style="51" hidden="1"/>
    <col min="4607" max="4607" width="16" style="51" hidden="1"/>
    <col min="4608" max="4608" width="15.7265625" style="51" hidden="1"/>
    <col min="4609" max="4609" width="17.453125" style="51" hidden="1"/>
    <col min="4610" max="4610" width="10.7265625" style="51" hidden="1"/>
    <col min="4611" max="4611" width="13" style="51" hidden="1"/>
    <col min="4612" max="4612" width="16.7265625" style="51" hidden="1"/>
    <col min="4613" max="4853" width="9.1796875" style="51" hidden="1"/>
    <col min="4854" max="4854" width="35.54296875" style="51" hidden="1"/>
    <col min="4855" max="4855" width="23" style="51" hidden="1"/>
    <col min="4856" max="4856" width="17.7265625" style="51" hidden="1"/>
    <col min="4857" max="4857" width="18.453125" style="51" hidden="1"/>
    <col min="4858" max="4859" width="13.1796875" style="51" hidden="1"/>
    <col min="4860" max="4860" width="10.7265625" style="51" hidden="1"/>
    <col min="4861" max="4861" width="40.81640625" style="51" hidden="1"/>
    <col min="4862" max="4862" width="34.1796875" style="51" hidden="1"/>
    <col min="4863" max="4863" width="16" style="51" hidden="1"/>
    <col min="4864" max="4864" width="15.7265625" style="51" hidden="1"/>
    <col min="4865" max="4865" width="17.453125" style="51" hidden="1"/>
    <col min="4866" max="4866" width="10.7265625" style="51" hidden="1"/>
    <col min="4867" max="4867" width="13" style="51" hidden="1"/>
    <col min="4868" max="4868" width="16.7265625" style="51" hidden="1"/>
    <col min="4869" max="5109" width="9.1796875" style="51" hidden="1"/>
    <col min="5110" max="5110" width="35.54296875" style="51" hidden="1"/>
    <col min="5111" max="5111" width="23" style="51" hidden="1"/>
    <col min="5112" max="5112" width="17.7265625" style="51" hidden="1"/>
    <col min="5113" max="5113" width="18.453125" style="51" hidden="1"/>
    <col min="5114" max="5115" width="13.1796875" style="51" hidden="1"/>
    <col min="5116" max="5116" width="10.7265625" style="51" hidden="1"/>
    <col min="5117" max="5117" width="40.81640625" style="51" hidden="1"/>
    <col min="5118" max="5118" width="34.1796875" style="51" hidden="1"/>
    <col min="5119" max="5119" width="16" style="51" hidden="1"/>
    <col min="5120" max="5120" width="15.7265625" style="51" hidden="1"/>
    <col min="5121" max="5121" width="17.453125" style="51" hidden="1"/>
    <col min="5122" max="5122" width="10.7265625" style="51" hidden="1"/>
    <col min="5123" max="5123" width="13" style="51" hidden="1"/>
    <col min="5124" max="5124" width="16.7265625" style="51" hidden="1"/>
    <col min="5125" max="5365" width="9.1796875" style="51" hidden="1"/>
    <col min="5366" max="5366" width="35.54296875" style="51" hidden="1"/>
    <col min="5367" max="5367" width="23" style="51" hidden="1"/>
    <col min="5368" max="5368" width="17.7265625" style="51" hidden="1"/>
    <col min="5369" max="5369" width="18.453125" style="51" hidden="1"/>
    <col min="5370" max="5371" width="13.1796875" style="51" hidden="1"/>
    <col min="5372" max="5372" width="10.7265625" style="51" hidden="1"/>
    <col min="5373" max="5373" width="40.81640625" style="51" hidden="1"/>
    <col min="5374" max="5374" width="34.1796875" style="51" hidden="1"/>
    <col min="5375" max="5375" width="16" style="51" hidden="1"/>
    <col min="5376" max="5376" width="15.7265625" style="51" hidden="1"/>
    <col min="5377" max="5377" width="17.453125" style="51" hidden="1"/>
    <col min="5378" max="5378" width="10.7265625" style="51" hidden="1"/>
    <col min="5379" max="5379" width="13" style="51" hidden="1"/>
    <col min="5380" max="5380" width="16.7265625" style="51" hidden="1"/>
    <col min="5381" max="5621" width="9.1796875" style="51" hidden="1"/>
    <col min="5622" max="5622" width="35.54296875" style="51" hidden="1"/>
    <col min="5623" max="5623" width="23" style="51" hidden="1"/>
    <col min="5624" max="5624" width="17.7265625" style="51" hidden="1"/>
    <col min="5625" max="5625" width="18.453125" style="51" hidden="1"/>
    <col min="5626" max="5627" width="13.1796875" style="51" hidden="1"/>
    <col min="5628" max="5628" width="10.7265625" style="51" hidden="1"/>
    <col min="5629" max="5629" width="40.81640625" style="51" hidden="1"/>
    <col min="5630" max="5630" width="34.1796875" style="51" hidden="1"/>
    <col min="5631" max="5631" width="16" style="51" hidden="1"/>
    <col min="5632" max="5632" width="15.7265625" style="51" hidden="1"/>
    <col min="5633" max="5633" width="17.453125" style="51" hidden="1"/>
    <col min="5634" max="5634" width="10.7265625" style="51" hidden="1"/>
    <col min="5635" max="5635" width="13" style="51" hidden="1"/>
    <col min="5636" max="5636" width="16.7265625" style="51" hidden="1"/>
    <col min="5637" max="5877" width="9.1796875" style="51" hidden="1"/>
    <col min="5878" max="5878" width="35.54296875" style="51" hidden="1"/>
    <col min="5879" max="5879" width="23" style="51" hidden="1"/>
    <col min="5880" max="5880" width="17.7265625" style="51" hidden="1"/>
    <col min="5881" max="5881" width="18.453125" style="51" hidden="1"/>
    <col min="5882" max="5883" width="13.1796875" style="51" hidden="1"/>
    <col min="5884" max="5884" width="10.7265625" style="51" hidden="1"/>
    <col min="5885" max="5885" width="40.81640625" style="51" hidden="1"/>
    <col min="5886" max="5886" width="34.1796875" style="51" hidden="1"/>
    <col min="5887" max="5887" width="16" style="51" hidden="1"/>
    <col min="5888" max="5888" width="15.7265625" style="51" hidden="1"/>
    <col min="5889" max="5889" width="17.453125" style="51" hidden="1"/>
    <col min="5890" max="5890" width="10.7265625" style="51" hidden="1"/>
    <col min="5891" max="5891" width="13" style="51" hidden="1"/>
    <col min="5892" max="5892" width="16.7265625" style="51" hidden="1"/>
    <col min="5893" max="6133" width="9.1796875" style="51" hidden="1"/>
    <col min="6134" max="6134" width="35.54296875" style="51" hidden="1"/>
    <col min="6135" max="6135" width="23" style="51" hidden="1"/>
    <col min="6136" max="6136" width="17.7265625" style="51" hidden="1"/>
    <col min="6137" max="6137" width="18.453125" style="51" hidden="1"/>
    <col min="6138" max="6139" width="13.1796875" style="51" hidden="1"/>
    <col min="6140" max="6140" width="10.7265625" style="51" hidden="1"/>
    <col min="6141" max="6141" width="40.81640625" style="51" hidden="1"/>
    <col min="6142" max="6142" width="34.1796875" style="51" hidden="1"/>
    <col min="6143" max="6143" width="16" style="51" hidden="1"/>
    <col min="6144" max="6144" width="15.7265625" style="51" hidden="1"/>
    <col min="6145" max="6145" width="17.453125" style="51" hidden="1"/>
    <col min="6146" max="6146" width="10.7265625" style="51" hidden="1"/>
    <col min="6147" max="6147" width="13" style="51" hidden="1"/>
    <col min="6148" max="6148" width="16.7265625" style="51" hidden="1"/>
    <col min="6149" max="6389" width="9.1796875" style="51" hidden="1"/>
    <col min="6390" max="6390" width="35.54296875" style="51" hidden="1"/>
    <col min="6391" max="6391" width="23" style="51" hidden="1"/>
    <col min="6392" max="6392" width="17.7265625" style="51" hidden="1"/>
    <col min="6393" max="6393" width="18.453125" style="51" hidden="1"/>
    <col min="6394" max="6395" width="13.1796875" style="51" hidden="1"/>
    <col min="6396" max="6396" width="10.7265625" style="51" hidden="1"/>
    <col min="6397" max="6397" width="40.81640625" style="51" hidden="1"/>
    <col min="6398" max="6398" width="34.1796875" style="51" hidden="1"/>
    <col min="6399" max="6399" width="16" style="51" hidden="1"/>
    <col min="6400" max="6400" width="15.7265625" style="51" hidden="1"/>
    <col min="6401" max="6401" width="17.453125" style="51" hidden="1"/>
    <col min="6402" max="6402" width="10.7265625" style="51" hidden="1"/>
    <col min="6403" max="6403" width="13" style="51" hidden="1"/>
    <col min="6404" max="6404" width="16.7265625" style="51" hidden="1"/>
    <col min="6405" max="6645" width="9.1796875" style="51" hidden="1"/>
    <col min="6646" max="6646" width="35.54296875" style="51" hidden="1"/>
    <col min="6647" max="6647" width="23" style="51" hidden="1"/>
    <col min="6648" max="6648" width="17.7265625" style="51" hidden="1"/>
    <col min="6649" max="6649" width="18.453125" style="51" hidden="1"/>
    <col min="6650" max="6651" width="13.1796875" style="51" hidden="1"/>
    <col min="6652" max="6652" width="10.7265625" style="51" hidden="1"/>
    <col min="6653" max="6653" width="40.81640625" style="51" hidden="1"/>
    <col min="6654" max="6654" width="34.1796875" style="51" hidden="1"/>
    <col min="6655" max="6655" width="16" style="51" hidden="1"/>
    <col min="6656" max="6656" width="15.7265625" style="51" hidden="1"/>
    <col min="6657" max="6657" width="17.453125" style="51" hidden="1"/>
    <col min="6658" max="6658" width="10.7265625" style="51" hidden="1"/>
    <col min="6659" max="6659" width="13" style="51" hidden="1"/>
    <col min="6660" max="6660" width="16.7265625" style="51" hidden="1"/>
    <col min="6661" max="6901" width="9.1796875" style="51" hidden="1"/>
    <col min="6902" max="6902" width="35.54296875" style="51" hidden="1"/>
    <col min="6903" max="6903" width="23" style="51" hidden="1"/>
    <col min="6904" max="6904" width="17.7265625" style="51" hidden="1"/>
    <col min="6905" max="6905" width="18.453125" style="51" hidden="1"/>
    <col min="6906" max="6907" width="13.1796875" style="51" hidden="1"/>
    <col min="6908" max="6908" width="10.7265625" style="51" hidden="1"/>
    <col min="6909" max="6909" width="40.81640625" style="51" hidden="1"/>
    <col min="6910" max="6910" width="34.1796875" style="51" hidden="1"/>
    <col min="6911" max="6911" width="16" style="51" hidden="1"/>
    <col min="6912" max="6912" width="15.7265625" style="51" hidden="1"/>
    <col min="6913" max="6913" width="17.453125" style="51" hidden="1"/>
    <col min="6914" max="6914" width="10.7265625" style="51" hidden="1"/>
    <col min="6915" max="6915" width="13" style="51" hidden="1"/>
    <col min="6916" max="6916" width="16.7265625" style="51" hidden="1"/>
    <col min="6917" max="7157" width="9.1796875" style="51" hidden="1"/>
    <col min="7158" max="7158" width="35.54296875" style="51" hidden="1"/>
    <col min="7159" max="7159" width="23" style="51" hidden="1"/>
    <col min="7160" max="7160" width="17.7265625" style="51" hidden="1"/>
    <col min="7161" max="7161" width="18.453125" style="51" hidden="1"/>
    <col min="7162" max="7163" width="13.1796875" style="51" hidden="1"/>
    <col min="7164" max="7164" width="10.7265625" style="51" hidden="1"/>
    <col min="7165" max="7165" width="40.81640625" style="51" hidden="1"/>
    <col min="7166" max="7166" width="34.1796875" style="51" hidden="1"/>
    <col min="7167" max="7167" width="16" style="51" hidden="1"/>
    <col min="7168" max="7168" width="15.7265625" style="51" hidden="1"/>
    <col min="7169" max="7169" width="17.453125" style="51" hidden="1"/>
    <col min="7170" max="7170" width="10.7265625" style="51" hidden="1"/>
    <col min="7171" max="7171" width="13" style="51" hidden="1"/>
    <col min="7172" max="7172" width="16.7265625" style="51" hidden="1"/>
    <col min="7173" max="7413" width="9.1796875" style="51" hidden="1"/>
    <col min="7414" max="7414" width="35.54296875" style="51" hidden="1"/>
    <col min="7415" max="7415" width="23" style="51" hidden="1"/>
    <col min="7416" max="7416" width="17.7265625" style="51" hidden="1"/>
    <col min="7417" max="7417" width="18.453125" style="51" hidden="1"/>
    <col min="7418" max="7419" width="13.1796875" style="51" hidden="1"/>
    <col min="7420" max="7420" width="10.7265625" style="51" hidden="1"/>
    <col min="7421" max="7421" width="40.81640625" style="51" hidden="1"/>
    <col min="7422" max="7422" width="34.1796875" style="51" hidden="1"/>
    <col min="7423" max="7423" width="16" style="51" hidden="1"/>
    <col min="7424" max="7424" width="15.7265625" style="51" hidden="1"/>
    <col min="7425" max="7425" width="17.453125" style="51" hidden="1"/>
    <col min="7426" max="7426" width="10.7265625" style="51" hidden="1"/>
    <col min="7427" max="7427" width="13" style="51" hidden="1"/>
    <col min="7428" max="7428" width="16.7265625" style="51" hidden="1"/>
    <col min="7429" max="7669" width="9.1796875" style="51" hidden="1"/>
    <col min="7670" max="7670" width="35.54296875" style="51" hidden="1"/>
    <col min="7671" max="7671" width="23" style="51" hidden="1"/>
    <col min="7672" max="7672" width="17.7265625" style="51" hidden="1"/>
    <col min="7673" max="7673" width="18.453125" style="51" hidden="1"/>
    <col min="7674" max="7675" width="13.1796875" style="51" hidden="1"/>
    <col min="7676" max="7676" width="10.7265625" style="51" hidden="1"/>
    <col min="7677" max="7677" width="40.81640625" style="51" hidden="1"/>
    <col min="7678" max="7678" width="34.1796875" style="51" hidden="1"/>
    <col min="7679" max="7679" width="16" style="51" hidden="1"/>
    <col min="7680" max="7680" width="15.7265625" style="51" hidden="1"/>
    <col min="7681" max="7681" width="17.453125" style="51" hidden="1"/>
    <col min="7682" max="7682" width="10.7265625" style="51" hidden="1"/>
    <col min="7683" max="7683" width="13" style="51" hidden="1"/>
    <col min="7684" max="7684" width="16.7265625" style="51" hidden="1"/>
    <col min="7685" max="7925" width="9.1796875" style="51" hidden="1"/>
    <col min="7926" max="7926" width="35.54296875" style="51" hidden="1"/>
    <col min="7927" max="7927" width="23" style="51" hidden="1"/>
    <col min="7928" max="7928" width="17.7265625" style="51" hidden="1"/>
    <col min="7929" max="7929" width="18.453125" style="51" hidden="1"/>
    <col min="7930" max="7931" width="13.1796875" style="51" hidden="1"/>
    <col min="7932" max="7932" width="10.7265625" style="51" hidden="1"/>
    <col min="7933" max="7933" width="40.81640625" style="51" hidden="1"/>
    <col min="7934" max="7934" width="34.1796875" style="51" hidden="1"/>
    <col min="7935" max="7935" width="16" style="51" hidden="1"/>
    <col min="7936" max="7936" width="15.7265625" style="51" hidden="1"/>
    <col min="7937" max="7937" width="17.453125" style="51" hidden="1"/>
    <col min="7938" max="7938" width="10.7265625" style="51" hidden="1"/>
    <col min="7939" max="7939" width="13" style="51" hidden="1"/>
    <col min="7940" max="7940" width="16.7265625" style="51" hidden="1"/>
    <col min="7941" max="8181" width="9.1796875" style="51" hidden="1"/>
    <col min="8182" max="8182" width="35.54296875" style="51" hidden="1"/>
    <col min="8183" max="8183" width="23" style="51" hidden="1"/>
    <col min="8184" max="8184" width="17.7265625" style="51" hidden="1"/>
    <col min="8185" max="8185" width="18.453125" style="51" hidden="1"/>
    <col min="8186" max="8187" width="13.1796875" style="51" hidden="1"/>
    <col min="8188" max="8188" width="10.7265625" style="51" hidden="1"/>
    <col min="8189" max="8189" width="40.81640625" style="51" hidden="1"/>
    <col min="8190" max="8190" width="34.1796875" style="51" hidden="1"/>
    <col min="8191" max="8191" width="16" style="51" hidden="1"/>
    <col min="8192" max="8192" width="15.7265625" style="51" hidden="1"/>
    <col min="8193" max="8193" width="17.453125" style="51" hidden="1"/>
    <col min="8194" max="8194" width="10.7265625" style="51" hidden="1"/>
    <col min="8195" max="8195" width="13" style="51" hidden="1"/>
    <col min="8196" max="8196" width="16.7265625" style="51" hidden="1"/>
    <col min="8197" max="8437" width="9.1796875" style="51" hidden="1"/>
    <col min="8438" max="8438" width="35.54296875" style="51" hidden="1"/>
    <col min="8439" max="8439" width="23" style="51" hidden="1"/>
    <col min="8440" max="8440" width="17.7265625" style="51" hidden="1"/>
    <col min="8441" max="8441" width="18.453125" style="51" hidden="1"/>
    <col min="8442" max="8443" width="13.1796875" style="51" hidden="1"/>
    <col min="8444" max="8444" width="10.7265625" style="51" hidden="1"/>
    <col min="8445" max="8445" width="40.81640625" style="51" hidden="1"/>
    <col min="8446" max="8446" width="34.1796875" style="51" hidden="1"/>
    <col min="8447" max="8447" width="16" style="51" hidden="1"/>
    <col min="8448" max="8448" width="15.7265625" style="51" hidden="1"/>
    <col min="8449" max="8449" width="17.453125" style="51" hidden="1"/>
    <col min="8450" max="8450" width="10.7265625" style="51" hidden="1"/>
    <col min="8451" max="8451" width="13" style="51" hidden="1"/>
    <col min="8452" max="8452" width="16.7265625" style="51" hidden="1"/>
    <col min="8453" max="8693" width="9.1796875" style="51" hidden="1"/>
    <col min="8694" max="8694" width="35.54296875" style="51" hidden="1"/>
    <col min="8695" max="8695" width="23" style="51" hidden="1"/>
    <col min="8696" max="8696" width="17.7265625" style="51" hidden="1"/>
    <col min="8697" max="8697" width="18.453125" style="51" hidden="1"/>
    <col min="8698" max="8699" width="13.1796875" style="51" hidden="1"/>
    <col min="8700" max="8700" width="10.7265625" style="51" hidden="1"/>
    <col min="8701" max="8701" width="40.81640625" style="51" hidden="1"/>
    <col min="8702" max="8702" width="34.1796875" style="51" hidden="1"/>
    <col min="8703" max="8703" width="16" style="51" hidden="1"/>
    <col min="8704" max="8704" width="15.7265625" style="51" hidden="1"/>
    <col min="8705" max="8705" width="17.453125" style="51" hidden="1"/>
    <col min="8706" max="8706" width="10.7265625" style="51" hidden="1"/>
    <col min="8707" max="8707" width="13" style="51" hidden="1"/>
    <col min="8708" max="8708" width="16.7265625" style="51" hidden="1"/>
    <col min="8709" max="8949" width="9.1796875" style="51" hidden="1"/>
    <col min="8950" max="8950" width="35.54296875" style="51" hidden="1"/>
    <col min="8951" max="8951" width="23" style="51" hidden="1"/>
    <col min="8952" max="8952" width="17.7265625" style="51" hidden="1"/>
    <col min="8953" max="8953" width="18.453125" style="51" hidden="1"/>
    <col min="8954" max="8955" width="13.1796875" style="51" hidden="1"/>
    <col min="8956" max="8956" width="10.7265625" style="51" hidden="1"/>
    <col min="8957" max="8957" width="40.81640625" style="51" hidden="1"/>
    <col min="8958" max="8958" width="34.1796875" style="51" hidden="1"/>
    <col min="8959" max="8959" width="16" style="51" hidden="1"/>
    <col min="8960" max="8960" width="15.7265625" style="51" hidden="1"/>
    <col min="8961" max="8961" width="17.453125" style="51" hidden="1"/>
    <col min="8962" max="8962" width="10.7265625" style="51" hidden="1"/>
    <col min="8963" max="8963" width="13" style="51" hidden="1"/>
    <col min="8964" max="8964" width="16.7265625" style="51" hidden="1"/>
    <col min="8965" max="9205" width="9.1796875" style="51" hidden="1"/>
    <col min="9206" max="9206" width="35.54296875" style="51" hidden="1"/>
    <col min="9207" max="9207" width="23" style="51" hidden="1"/>
    <col min="9208" max="9208" width="17.7265625" style="51" hidden="1"/>
    <col min="9209" max="9209" width="18.453125" style="51" hidden="1"/>
    <col min="9210" max="9211" width="13.1796875" style="51" hidden="1"/>
    <col min="9212" max="9212" width="10.7265625" style="51" hidden="1"/>
    <col min="9213" max="9213" width="40.81640625" style="51" hidden="1"/>
    <col min="9214" max="9214" width="34.1796875" style="51" hidden="1"/>
    <col min="9215" max="9215" width="16" style="51" hidden="1"/>
    <col min="9216" max="9216" width="15.7265625" style="51" hidden="1"/>
    <col min="9217" max="9217" width="17.453125" style="51" hidden="1"/>
    <col min="9218" max="9218" width="10.7265625" style="51" hidden="1"/>
    <col min="9219" max="9219" width="13" style="51" hidden="1"/>
    <col min="9220" max="9220" width="16.7265625" style="51" hidden="1"/>
    <col min="9221" max="9461" width="9.1796875" style="51" hidden="1"/>
    <col min="9462" max="9462" width="35.54296875" style="51" hidden="1"/>
    <col min="9463" max="9463" width="23" style="51" hidden="1"/>
    <col min="9464" max="9464" width="17.7265625" style="51" hidden="1"/>
    <col min="9465" max="9465" width="18.453125" style="51" hidden="1"/>
    <col min="9466" max="9467" width="13.1796875" style="51" hidden="1"/>
    <col min="9468" max="9468" width="10.7265625" style="51" hidden="1"/>
    <col min="9469" max="9469" width="40.81640625" style="51" hidden="1"/>
    <col min="9470" max="9470" width="34.1796875" style="51" hidden="1"/>
    <col min="9471" max="9471" width="16" style="51" hidden="1"/>
    <col min="9472" max="9472" width="15.7265625" style="51" hidden="1"/>
    <col min="9473" max="9473" width="17.453125" style="51" hidden="1"/>
    <col min="9474" max="9474" width="10.7265625" style="51" hidden="1"/>
    <col min="9475" max="9475" width="13" style="51" hidden="1"/>
    <col min="9476" max="9476" width="16.7265625" style="51" hidden="1"/>
    <col min="9477" max="9717" width="9.1796875" style="51" hidden="1"/>
    <col min="9718" max="9718" width="35.54296875" style="51" hidden="1"/>
    <col min="9719" max="9719" width="23" style="51" hidden="1"/>
    <col min="9720" max="9720" width="17.7265625" style="51" hidden="1"/>
    <col min="9721" max="9721" width="18.453125" style="51" hidden="1"/>
    <col min="9722" max="9723" width="13.1796875" style="51" hidden="1"/>
    <col min="9724" max="9724" width="10.7265625" style="51" hidden="1"/>
    <col min="9725" max="9725" width="40.81640625" style="51" hidden="1"/>
    <col min="9726" max="9726" width="34.1796875" style="51" hidden="1"/>
    <col min="9727" max="9727" width="16" style="51" hidden="1"/>
    <col min="9728" max="9728" width="15.7265625" style="51" hidden="1"/>
    <col min="9729" max="9729" width="17.453125" style="51" hidden="1"/>
    <col min="9730" max="9730" width="10.7265625" style="51" hidden="1"/>
    <col min="9731" max="9731" width="13" style="51" hidden="1"/>
    <col min="9732" max="9732" width="16.7265625" style="51" hidden="1"/>
    <col min="9733" max="9973" width="9.1796875" style="51" hidden="1"/>
    <col min="9974" max="9974" width="35.54296875" style="51" hidden="1"/>
    <col min="9975" max="9975" width="23" style="51" hidden="1"/>
    <col min="9976" max="9976" width="17.7265625" style="51" hidden="1"/>
    <col min="9977" max="9977" width="18.453125" style="51" hidden="1"/>
    <col min="9978" max="9979" width="13.1796875" style="51" hidden="1"/>
    <col min="9980" max="9980" width="10.7265625" style="51" hidden="1"/>
    <col min="9981" max="9981" width="40.81640625" style="51" hidden="1"/>
    <col min="9982" max="9982" width="34.1796875" style="51" hidden="1"/>
    <col min="9983" max="9983" width="16" style="51" hidden="1"/>
    <col min="9984" max="9984" width="15.7265625" style="51" hidden="1"/>
    <col min="9985" max="9985" width="17.453125" style="51" hidden="1"/>
    <col min="9986" max="9986" width="10.7265625" style="51" hidden="1"/>
    <col min="9987" max="9987" width="13" style="51" hidden="1"/>
    <col min="9988" max="9988" width="16.7265625" style="51" hidden="1"/>
    <col min="9989" max="10229" width="9.1796875" style="51" hidden="1"/>
    <col min="10230" max="10230" width="35.54296875" style="51" hidden="1"/>
    <col min="10231" max="10231" width="23" style="51" hidden="1"/>
    <col min="10232" max="10232" width="17.7265625" style="51" hidden="1"/>
    <col min="10233" max="10233" width="18.453125" style="51" hidden="1"/>
    <col min="10234" max="10235" width="13.1796875" style="51" hidden="1"/>
    <col min="10236" max="10236" width="10.7265625" style="51" hidden="1"/>
    <col min="10237" max="10237" width="40.81640625" style="51" hidden="1"/>
    <col min="10238" max="10238" width="34.1796875" style="51" hidden="1"/>
    <col min="10239" max="10239" width="16" style="51" hidden="1"/>
    <col min="10240" max="10240" width="15.7265625" style="51" hidden="1"/>
    <col min="10241" max="10241" width="17.453125" style="51" hidden="1"/>
    <col min="10242" max="10242" width="10.7265625" style="51" hidden="1"/>
    <col min="10243" max="10243" width="13" style="51" hidden="1"/>
    <col min="10244" max="10244" width="16.7265625" style="51" hidden="1"/>
    <col min="10245" max="10485" width="9.1796875" style="51" hidden="1"/>
    <col min="10486" max="10486" width="35.54296875" style="51" hidden="1"/>
    <col min="10487" max="10487" width="23" style="51" hidden="1"/>
    <col min="10488" max="10488" width="17.7265625" style="51" hidden="1"/>
    <col min="10489" max="10489" width="18.453125" style="51" hidden="1"/>
    <col min="10490" max="10491" width="13.1796875" style="51" hidden="1"/>
    <col min="10492" max="10492" width="10.7265625" style="51" hidden="1"/>
    <col min="10493" max="10493" width="40.81640625" style="51" hidden="1"/>
    <col min="10494" max="10494" width="34.1796875" style="51" hidden="1"/>
    <col min="10495" max="10495" width="16" style="51" hidden="1"/>
    <col min="10496" max="10496" width="15.7265625" style="51" hidden="1"/>
    <col min="10497" max="10497" width="17.453125" style="51" hidden="1"/>
    <col min="10498" max="10498" width="10.7265625" style="51" hidden="1"/>
    <col min="10499" max="10499" width="13" style="51" hidden="1"/>
    <col min="10500" max="10500" width="16.7265625" style="51" hidden="1"/>
    <col min="10501" max="10741" width="9.1796875" style="51" hidden="1"/>
    <col min="10742" max="10742" width="35.54296875" style="51" hidden="1"/>
    <col min="10743" max="10743" width="23" style="51" hidden="1"/>
    <col min="10744" max="10744" width="17.7265625" style="51" hidden="1"/>
    <col min="10745" max="10745" width="18.453125" style="51" hidden="1"/>
    <col min="10746" max="10747" width="13.1796875" style="51" hidden="1"/>
    <col min="10748" max="10748" width="10.7265625" style="51" hidden="1"/>
    <col min="10749" max="10749" width="40.81640625" style="51" hidden="1"/>
    <col min="10750" max="10750" width="34.1796875" style="51" hidden="1"/>
    <col min="10751" max="10751" width="16" style="51" hidden="1"/>
    <col min="10752" max="10752" width="15.7265625" style="51" hidden="1"/>
    <col min="10753" max="10753" width="17.453125" style="51" hidden="1"/>
    <col min="10754" max="10754" width="10.7265625" style="51" hidden="1"/>
    <col min="10755" max="10755" width="13" style="51" hidden="1"/>
    <col min="10756" max="10756" width="16.7265625" style="51" hidden="1"/>
    <col min="10757" max="10997" width="9.1796875" style="51" hidden="1"/>
    <col min="10998" max="10998" width="35.54296875" style="51" hidden="1"/>
    <col min="10999" max="10999" width="23" style="51" hidden="1"/>
    <col min="11000" max="11000" width="17.7265625" style="51" hidden="1"/>
    <col min="11001" max="11001" width="18.453125" style="51" hidden="1"/>
    <col min="11002" max="11003" width="13.1796875" style="51" hidden="1"/>
    <col min="11004" max="11004" width="10.7265625" style="51" hidden="1"/>
    <col min="11005" max="11005" width="40.81640625" style="51" hidden="1"/>
    <col min="11006" max="11006" width="34.1796875" style="51" hidden="1"/>
    <col min="11007" max="11007" width="16" style="51" hidden="1"/>
    <col min="11008" max="11008" width="15.7265625" style="51" hidden="1"/>
    <col min="11009" max="11009" width="17.453125" style="51" hidden="1"/>
    <col min="11010" max="11010" width="10.7265625" style="51" hidden="1"/>
    <col min="11011" max="11011" width="13" style="51" hidden="1"/>
    <col min="11012" max="11012" width="16.7265625" style="51" hidden="1"/>
    <col min="11013" max="11253" width="9.1796875" style="51" hidden="1"/>
    <col min="11254" max="11254" width="35.54296875" style="51" hidden="1"/>
    <col min="11255" max="11255" width="23" style="51" hidden="1"/>
    <col min="11256" max="11256" width="17.7265625" style="51" hidden="1"/>
    <col min="11257" max="11257" width="18.453125" style="51" hidden="1"/>
    <col min="11258" max="11259" width="13.1796875" style="51" hidden="1"/>
    <col min="11260" max="11260" width="10.7265625" style="51" hidden="1"/>
    <col min="11261" max="11261" width="40.81640625" style="51" hidden="1"/>
    <col min="11262" max="11262" width="34.1796875" style="51" hidden="1"/>
    <col min="11263" max="11263" width="16" style="51" hidden="1"/>
    <col min="11264" max="11264" width="15.7265625" style="51" hidden="1"/>
    <col min="11265" max="11265" width="17.453125" style="51" hidden="1"/>
    <col min="11266" max="11266" width="10.7265625" style="51" hidden="1"/>
    <col min="11267" max="11267" width="13" style="51" hidden="1"/>
    <col min="11268" max="11268" width="16.7265625" style="51" hidden="1"/>
    <col min="11269" max="11509" width="9.1796875" style="51" hidden="1"/>
    <col min="11510" max="11510" width="35.54296875" style="51" hidden="1"/>
    <col min="11511" max="11511" width="23" style="51" hidden="1"/>
    <col min="11512" max="11512" width="17.7265625" style="51" hidden="1"/>
    <col min="11513" max="11513" width="18.453125" style="51" hidden="1"/>
    <col min="11514" max="11515" width="13.1796875" style="51" hidden="1"/>
    <col min="11516" max="11516" width="10.7265625" style="51" hidden="1"/>
    <col min="11517" max="11517" width="40.81640625" style="51" hidden="1"/>
    <col min="11518" max="11518" width="34.1796875" style="51" hidden="1"/>
    <col min="11519" max="11519" width="16" style="51" hidden="1"/>
    <col min="11520" max="11520" width="15.7265625" style="51" hidden="1"/>
    <col min="11521" max="11521" width="17.453125" style="51" hidden="1"/>
    <col min="11522" max="11522" width="10.7265625" style="51" hidden="1"/>
    <col min="11523" max="11523" width="13" style="51" hidden="1"/>
    <col min="11524" max="11524" width="16.7265625" style="51" hidden="1"/>
    <col min="11525" max="11765" width="9.1796875" style="51" hidden="1"/>
    <col min="11766" max="11766" width="35.54296875" style="51" hidden="1"/>
    <col min="11767" max="11767" width="23" style="51" hidden="1"/>
    <col min="11768" max="11768" width="17.7265625" style="51" hidden="1"/>
    <col min="11769" max="11769" width="18.453125" style="51" hidden="1"/>
    <col min="11770" max="11771" width="13.1796875" style="51" hidden="1"/>
    <col min="11772" max="11772" width="10.7265625" style="51" hidden="1"/>
    <col min="11773" max="11773" width="40.81640625" style="51" hidden="1"/>
    <col min="11774" max="11774" width="34.1796875" style="51" hidden="1"/>
    <col min="11775" max="11775" width="16" style="51" hidden="1"/>
    <col min="11776" max="11776" width="15.7265625" style="51" hidden="1"/>
    <col min="11777" max="11777" width="17.453125" style="51" hidden="1"/>
    <col min="11778" max="11778" width="10.7265625" style="51" hidden="1"/>
    <col min="11779" max="11779" width="13" style="51" hidden="1"/>
    <col min="11780" max="11780" width="16.7265625" style="51" hidden="1"/>
    <col min="11781" max="12021" width="9.1796875" style="51" hidden="1"/>
    <col min="12022" max="12022" width="35.54296875" style="51" hidden="1"/>
    <col min="12023" max="12023" width="23" style="51" hidden="1"/>
    <col min="12024" max="12024" width="17.7265625" style="51" hidden="1"/>
    <col min="12025" max="12025" width="18.453125" style="51" hidden="1"/>
    <col min="12026" max="12027" width="13.1796875" style="51" hidden="1"/>
    <col min="12028" max="12028" width="10.7265625" style="51" hidden="1"/>
    <col min="12029" max="12029" width="40.81640625" style="51" hidden="1"/>
    <col min="12030" max="12030" width="34.1796875" style="51" hidden="1"/>
    <col min="12031" max="12031" width="16" style="51" hidden="1"/>
    <col min="12032" max="12032" width="15.7265625" style="51" hidden="1"/>
    <col min="12033" max="12033" width="17.453125" style="51" hidden="1"/>
    <col min="12034" max="12034" width="10.7265625" style="51" hidden="1"/>
    <col min="12035" max="12035" width="13" style="51" hidden="1"/>
    <col min="12036" max="12036" width="16.7265625" style="51" hidden="1"/>
    <col min="12037" max="12277" width="9.1796875" style="51" hidden="1"/>
    <col min="12278" max="12278" width="35.54296875" style="51" hidden="1"/>
    <col min="12279" max="12279" width="23" style="51" hidden="1"/>
    <col min="12280" max="12280" width="17.7265625" style="51" hidden="1"/>
    <col min="12281" max="12281" width="18.453125" style="51" hidden="1"/>
    <col min="12282" max="12283" width="13.1796875" style="51" hidden="1"/>
    <col min="12284" max="12284" width="10.7265625" style="51" hidden="1"/>
    <col min="12285" max="12285" width="40.81640625" style="51" hidden="1"/>
    <col min="12286" max="12286" width="34.1796875" style="51" hidden="1"/>
    <col min="12287" max="12287" width="16" style="51" hidden="1"/>
    <col min="12288" max="12288" width="15.7265625" style="51" hidden="1"/>
    <col min="12289" max="12289" width="17.453125" style="51" hidden="1"/>
    <col min="12290" max="12290" width="10.7265625" style="51" hidden="1"/>
    <col min="12291" max="12291" width="13" style="51" hidden="1"/>
    <col min="12292" max="12292" width="16.7265625" style="51" hidden="1"/>
    <col min="12293" max="12533" width="9.1796875" style="51" hidden="1"/>
    <col min="12534" max="12534" width="35.54296875" style="51" hidden="1"/>
    <col min="12535" max="12535" width="23" style="51" hidden="1"/>
    <col min="12536" max="12536" width="17.7265625" style="51" hidden="1"/>
    <col min="12537" max="12537" width="18.453125" style="51" hidden="1"/>
    <col min="12538" max="12539" width="13.1796875" style="51" hidden="1"/>
    <col min="12540" max="12540" width="10.7265625" style="51" hidden="1"/>
    <col min="12541" max="12541" width="40.81640625" style="51" hidden="1"/>
    <col min="12542" max="12542" width="34.1796875" style="51" hidden="1"/>
    <col min="12543" max="12543" width="16" style="51" hidden="1"/>
    <col min="12544" max="12544" width="15.7265625" style="51" hidden="1"/>
    <col min="12545" max="12545" width="17.453125" style="51" hidden="1"/>
    <col min="12546" max="12546" width="10.7265625" style="51" hidden="1"/>
    <col min="12547" max="12547" width="13" style="51" hidden="1"/>
    <col min="12548" max="12548" width="16.7265625" style="51" hidden="1"/>
    <col min="12549" max="12789" width="9.1796875" style="51" hidden="1"/>
    <col min="12790" max="12790" width="35.54296875" style="51" hidden="1"/>
    <col min="12791" max="12791" width="23" style="51" hidden="1"/>
    <col min="12792" max="12792" width="17.7265625" style="51" hidden="1"/>
    <col min="12793" max="12793" width="18.453125" style="51" hidden="1"/>
    <col min="12794" max="12795" width="13.1796875" style="51" hidden="1"/>
    <col min="12796" max="12796" width="10.7265625" style="51" hidden="1"/>
    <col min="12797" max="12797" width="40.81640625" style="51" hidden="1"/>
    <col min="12798" max="12798" width="34.1796875" style="51" hidden="1"/>
    <col min="12799" max="12799" width="16" style="51" hidden="1"/>
    <col min="12800" max="12800" width="15.7265625" style="51" hidden="1"/>
    <col min="12801" max="12801" width="17.453125" style="51" hidden="1"/>
    <col min="12802" max="12802" width="10.7265625" style="51" hidden="1"/>
    <col min="12803" max="12803" width="13" style="51" hidden="1"/>
    <col min="12804" max="12804" width="16.7265625" style="51" hidden="1"/>
    <col min="12805" max="13045" width="9.1796875" style="51" hidden="1"/>
    <col min="13046" max="13046" width="35.54296875" style="51" hidden="1"/>
    <col min="13047" max="13047" width="23" style="51" hidden="1"/>
    <col min="13048" max="13048" width="17.7265625" style="51" hidden="1"/>
    <col min="13049" max="13049" width="18.453125" style="51" hidden="1"/>
    <col min="13050" max="13051" width="13.1796875" style="51" hidden="1"/>
    <col min="13052" max="13052" width="10.7265625" style="51" hidden="1"/>
    <col min="13053" max="13053" width="40.81640625" style="51" hidden="1"/>
    <col min="13054" max="13054" width="34.1796875" style="51" hidden="1"/>
    <col min="13055" max="13055" width="16" style="51" hidden="1"/>
    <col min="13056" max="13056" width="15.7265625" style="51" hidden="1"/>
    <col min="13057" max="13057" width="17.453125" style="51" hidden="1"/>
    <col min="13058" max="13058" width="10.7265625" style="51" hidden="1"/>
    <col min="13059" max="13059" width="13" style="51" hidden="1"/>
    <col min="13060" max="13060" width="16.7265625" style="51" hidden="1"/>
    <col min="13061" max="13301" width="9.1796875" style="51" hidden="1"/>
    <col min="13302" max="13302" width="35.54296875" style="51" hidden="1"/>
    <col min="13303" max="13303" width="23" style="51" hidden="1"/>
    <col min="13304" max="13304" width="17.7265625" style="51" hidden="1"/>
    <col min="13305" max="13305" width="18.453125" style="51" hidden="1"/>
    <col min="13306" max="13307" width="13.1796875" style="51" hidden="1"/>
    <col min="13308" max="13308" width="10.7265625" style="51" hidden="1"/>
    <col min="13309" max="13309" width="40.81640625" style="51" hidden="1"/>
    <col min="13310" max="13310" width="34.1796875" style="51" hidden="1"/>
    <col min="13311" max="13311" width="16" style="51" hidden="1"/>
    <col min="13312" max="13312" width="15.7265625" style="51" hidden="1"/>
    <col min="13313" max="13313" width="17.453125" style="51" hidden="1"/>
    <col min="13314" max="13314" width="10.7265625" style="51" hidden="1"/>
    <col min="13315" max="13315" width="13" style="51" hidden="1"/>
    <col min="13316" max="13316" width="16.7265625" style="51" hidden="1"/>
    <col min="13317" max="13557" width="9.1796875" style="51" hidden="1"/>
    <col min="13558" max="13558" width="35.54296875" style="51" hidden="1"/>
    <col min="13559" max="13559" width="23" style="51" hidden="1"/>
    <col min="13560" max="13560" width="17.7265625" style="51" hidden="1"/>
    <col min="13561" max="13561" width="18.453125" style="51" hidden="1"/>
    <col min="13562" max="13563" width="13.1796875" style="51" hidden="1"/>
    <col min="13564" max="13564" width="10.7265625" style="51" hidden="1"/>
    <col min="13565" max="13565" width="40.81640625" style="51" hidden="1"/>
    <col min="13566" max="13566" width="34.1796875" style="51" hidden="1"/>
    <col min="13567" max="13567" width="16" style="51" hidden="1"/>
    <col min="13568" max="13568" width="15.7265625" style="51" hidden="1"/>
    <col min="13569" max="13569" width="17.453125" style="51" hidden="1"/>
    <col min="13570" max="13570" width="10.7265625" style="51" hidden="1"/>
    <col min="13571" max="13571" width="13" style="51" hidden="1"/>
    <col min="13572" max="13572" width="16.7265625" style="51" hidden="1"/>
    <col min="13573" max="13813" width="9.1796875" style="51" hidden="1"/>
    <col min="13814" max="13814" width="35.54296875" style="51" hidden="1"/>
    <col min="13815" max="13815" width="23" style="51" hidden="1"/>
    <col min="13816" max="13816" width="17.7265625" style="51" hidden="1"/>
    <col min="13817" max="13817" width="18.453125" style="51" hidden="1"/>
    <col min="13818" max="13819" width="13.1796875" style="51" hidden="1"/>
    <col min="13820" max="13820" width="10.7265625" style="51" hidden="1"/>
    <col min="13821" max="13821" width="40.81640625" style="51" hidden="1"/>
    <col min="13822" max="13822" width="34.1796875" style="51" hidden="1"/>
    <col min="13823" max="13823" width="16" style="51" hidden="1"/>
    <col min="13824" max="13824" width="15.7265625" style="51" hidden="1"/>
    <col min="13825" max="13825" width="17.453125" style="51" hidden="1"/>
    <col min="13826" max="13826" width="10.7265625" style="51" hidden="1"/>
    <col min="13827" max="13827" width="13" style="51" hidden="1"/>
    <col min="13828" max="13828" width="16.7265625" style="51" hidden="1"/>
    <col min="13829" max="14069" width="9.1796875" style="51" hidden="1"/>
    <col min="14070" max="14070" width="35.54296875" style="51" hidden="1"/>
    <col min="14071" max="14071" width="23" style="51" hidden="1"/>
    <col min="14072" max="14072" width="17.7265625" style="51" hidden="1"/>
    <col min="14073" max="14073" width="18.453125" style="51" hidden="1"/>
    <col min="14074" max="14075" width="13.1796875" style="51" hidden="1"/>
    <col min="14076" max="14076" width="10.7265625" style="51" hidden="1"/>
    <col min="14077" max="14077" width="40.81640625" style="51" hidden="1"/>
    <col min="14078" max="14078" width="34.1796875" style="51" hidden="1"/>
    <col min="14079" max="14079" width="16" style="51" hidden="1"/>
    <col min="14080" max="14080" width="15.7265625" style="51" hidden="1"/>
    <col min="14081" max="14081" width="17.453125" style="51" hidden="1"/>
    <col min="14082" max="14082" width="10.7265625" style="51" hidden="1"/>
    <col min="14083" max="14083" width="13" style="51" hidden="1"/>
    <col min="14084" max="14084" width="16.7265625" style="51" hidden="1"/>
    <col min="14085" max="14325" width="9.1796875" style="51" hidden="1"/>
    <col min="14326" max="14326" width="35.54296875" style="51" hidden="1"/>
    <col min="14327" max="14327" width="23" style="51" hidden="1"/>
    <col min="14328" max="14328" width="17.7265625" style="51" hidden="1"/>
    <col min="14329" max="14329" width="18.453125" style="51" hidden="1"/>
    <col min="14330" max="14331" width="13.1796875" style="51" hidden="1"/>
    <col min="14332" max="14332" width="10.7265625" style="51" hidden="1"/>
    <col min="14333" max="14333" width="40.81640625" style="51" hidden="1"/>
    <col min="14334" max="14334" width="34.1796875" style="51" hidden="1"/>
    <col min="14335" max="14335" width="16" style="51" hidden="1"/>
    <col min="14336" max="14336" width="15.7265625" style="51" hidden="1"/>
    <col min="14337" max="14337" width="17.453125" style="51" hidden="1"/>
    <col min="14338" max="14338" width="10.7265625" style="51" hidden="1"/>
    <col min="14339" max="14339" width="13" style="51" hidden="1"/>
    <col min="14340" max="14340" width="16.7265625" style="51" hidden="1"/>
    <col min="14341" max="14581" width="9.1796875" style="51" hidden="1"/>
    <col min="14582" max="14582" width="35.54296875" style="51" hidden="1"/>
    <col min="14583" max="14583" width="23" style="51" hidden="1"/>
    <col min="14584" max="14584" width="17.7265625" style="51" hidden="1"/>
    <col min="14585" max="14585" width="18.453125" style="51" hidden="1"/>
    <col min="14586" max="14587" width="13.1796875" style="51" hidden="1"/>
    <col min="14588" max="14588" width="10.7265625" style="51" hidden="1"/>
    <col min="14589" max="14589" width="40.81640625" style="51" hidden="1"/>
    <col min="14590" max="14590" width="34.1796875" style="51" hidden="1"/>
    <col min="14591" max="14591" width="16" style="51" hidden="1"/>
    <col min="14592" max="14592" width="15.7265625" style="51" hidden="1"/>
    <col min="14593" max="14593" width="17.453125" style="51" hidden="1"/>
    <col min="14594" max="14594" width="10.7265625" style="51" hidden="1"/>
    <col min="14595" max="14595" width="13" style="51" hidden="1"/>
    <col min="14596" max="14596" width="16.7265625" style="51" hidden="1"/>
    <col min="14597" max="14837" width="9.1796875" style="51" hidden="1"/>
    <col min="14838" max="14838" width="35.54296875" style="51" hidden="1"/>
    <col min="14839" max="14839" width="23" style="51" hidden="1"/>
    <col min="14840" max="14840" width="17.7265625" style="51" hidden="1"/>
    <col min="14841" max="14841" width="18.453125" style="51" hidden="1"/>
    <col min="14842" max="14843" width="13.1796875" style="51" hidden="1"/>
    <col min="14844" max="14844" width="10.7265625" style="51" hidden="1"/>
    <col min="14845" max="14845" width="40.81640625" style="51" hidden="1"/>
    <col min="14846" max="14846" width="34.1796875" style="51" hidden="1"/>
    <col min="14847" max="14847" width="16" style="51" hidden="1"/>
    <col min="14848" max="14848" width="15.7265625" style="51" hidden="1"/>
    <col min="14849" max="14849" width="17.453125" style="51" hidden="1"/>
    <col min="14850" max="14850" width="10.7265625" style="51" hidden="1"/>
    <col min="14851" max="14851" width="13" style="51" hidden="1"/>
    <col min="14852" max="14852" width="16.7265625" style="51" hidden="1"/>
    <col min="14853" max="15093" width="9.1796875" style="51" hidden="1"/>
    <col min="15094" max="15094" width="35.54296875" style="51" hidden="1"/>
    <col min="15095" max="15095" width="23" style="51" hidden="1"/>
    <col min="15096" max="15096" width="17.7265625" style="51" hidden="1"/>
    <col min="15097" max="15097" width="18.453125" style="51" hidden="1"/>
    <col min="15098" max="15099" width="13.1796875" style="51" hidden="1"/>
    <col min="15100" max="15100" width="10.7265625" style="51" hidden="1"/>
    <col min="15101" max="15101" width="40.81640625" style="51" hidden="1"/>
    <col min="15102" max="15102" width="34.1796875" style="51" hidden="1"/>
    <col min="15103" max="15103" width="16" style="51" hidden="1"/>
    <col min="15104" max="15104" width="15.7265625" style="51" hidden="1"/>
    <col min="15105" max="15105" width="17.453125" style="51" hidden="1"/>
    <col min="15106" max="15106" width="10.7265625" style="51" hidden="1"/>
    <col min="15107" max="15107" width="13" style="51" hidden="1"/>
    <col min="15108" max="15108" width="16.7265625" style="51" hidden="1"/>
    <col min="15109" max="15349" width="9.1796875" style="51" hidden="1"/>
    <col min="15350" max="15350" width="35.54296875" style="51" hidden="1"/>
    <col min="15351" max="15351" width="23" style="51" hidden="1"/>
    <col min="15352" max="15352" width="17.7265625" style="51" hidden="1"/>
    <col min="15353" max="15353" width="18.453125" style="51" hidden="1"/>
    <col min="15354" max="15355" width="13.1796875" style="51" hidden="1"/>
    <col min="15356" max="15356" width="10.7265625" style="51" hidden="1"/>
    <col min="15357" max="15357" width="40.81640625" style="51" hidden="1"/>
    <col min="15358" max="15358" width="34.1796875" style="51" hidden="1"/>
    <col min="15359" max="15359" width="16" style="51" hidden="1"/>
    <col min="15360" max="15360" width="15.7265625" style="51" hidden="1"/>
    <col min="15361" max="15361" width="17.453125" style="51" hidden="1"/>
    <col min="15362" max="15362" width="10.7265625" style="51" hidden="1"/>
    <col min="15363" max="15363" width="13" style="51" hidden="1"/>
    <col min="15364" max="15364" width="16.7265625" style="51" hidden="1"/>
    <col min="15365" max="15605" width="9.1796875" style="51" hidden="1"/>
    <col min="15606" max="15606" width="35.54296875" style="51" hidden="1"/>
    <col min="15607" max="15607" width="23" style="51" hidden="1"/>
    <col min="15608" max="15608" width="17.7265625" style="51" hidden="1"/>
    <col min="15609" max="15609" width="18.453125" style="51" hidden="1"/>
    <col min="15610" max="15611" width="13.1796875" style="51" hidden="1"/>
    <col min="15612" max="15612" width="10.7265625" style="51" hidden="1"/>
    <col min="15613" max="15613" width="40.81640625" style="51" hidden="1"/>
    <col min="15614" max="15614" width="34.1796875" style="51" hidden="1"/>
    <col min="15615" max="15615" width="16" style="51" hidden="1"/>
    <col min="15616" max="15616" width="15.7265625" style="51" hidden="1"/>
    <col min="15617" max="15617" width="17.453125" style="51" hidden="1"/>
    <col min="15618" max="15618" width="10.7265625" style="51" hidden="1"/>
    <col min="15619" max="15619" width="13" style="51" hidden="1"/>
    <col min="15620" max="15620" width="16.7265625" style="51" hidden="1"/>
    <col min="15621" max="15861" width="9.1796875" style="51" hidden="1"/>
    <col min="15862" max="15862" width="35.54296875" style="51" hidden="1"/>
    <col min="15863" max="15863" width="23" style="51" hidden="1"/>
    <col min="15864" max="15864" width="17.7265625" style="51" hidden="1"/>
    <col min="15865" max="15865" width="18.453125" style="51" hidden="1"/>
    <col min="15866" max="15867" width="13.1796875" style="51" hidden="1"/>
    <col min="15868" max="15868" width="10.7265625" style="51" hidden="1"/>
    <col min="15869" max="15869" width="40.81640625" style="51" hidden="1"/>
    <col min="15870" max="15870" width="34.1796875" style="51" hidden="1"/>
    <col min="15871" max="15871" width="16" style="51" hidden="1"/>
    <col min="15872" max="15872" width="15.7265625" style="51" hidden="1"/>
    <col min="15873" max="15873" width="17.453125" style="51" hidden="1"/>
    <col min="15874" max="15874" width="10.7265625" style="51" hidden="1"/>
    <col min="15875" max="15875" width="13" style="51" hidden="1"/>
    <col min="15876" max="15876" width="16.7265625" style="51" hidden="1"/>
    <col min="15877" max="16117" width="9.1796875" style="51" hidden="1"/>
    <col min="16118" max="16118" width="35.54296875" style="51" hidden="1"/>
    <col min="16119" max="16119" width="23" style="51" hidden="1"/>
    <col min="16120" max="16120" width="17.7265625" style="51" hidden="1"/>
    <col min="16121" max="16121" width="18.453125" style="51" hidden="1"/>
    <col min="16122" max="16123" width="13.1796875" style="51" hidden="1"/>
    <col min="16124" max="16124" width="10.7265625" style="51" hidden="1"/>
    <col min="16125" max="16125" width="40.81640625" style="51" hidden="1"/>
    <col min="16126" max="16126" width="34.1796875" style="51" hidden="1"/>
    <col min="16127" max="16127" width="16" style="51" hidden="1"/>
    <col min="16128" max="16128" width="15.7265625" style="51" hidden="1"/>
    <col min="16129" max="16129" width="17.453125" style="51" hidden="1"/>
    <col min="16130" max="16130" width="10.7265625" style="51" hidden="1"/>
    <col min="16131" max="16131" width="13" style="51" hidden="1"/>
    <col min="16132" max="16136" width="16.7265625" style="51" hidden="1"/>
    <col min="16137" max="16384" width="9.1796875" style="51" hidden="1"/>
  </cols>
  <sheetData>
    <row r="1" spans="1:8" ht="25.5" customHeight="1" x14ac:dyDescent="0.35">
      <c r="A1" s="414" t="s">
        <v>273</v>
      </c>
      <c r="B1" s="414"/>
      <c r="C1" s="414"/>
      <c r="D1" s="414"/>
      <c r="E1" s="414"/>
      <c r="F1" s="414"/>
      <c r="G1" s="261"/>
    </row>
    <row r="2" spans="1:8" ht="25.5" customHeight="1" x14ac:dyDescent="0.35">
      <c r="A2" s="382" t="str">
        <f>'Indicadores e Metas'!A2:F2</f>
        <v>CAU/UF:  Conselho de Arquitetura e Urbanismo do Estado de Minas Gerais- CAU/MG</v>
      </c>
      <c r="B2" s="383"/>
      <c r="C2" s="383"/>
      <c r="D2" s="383"/>
      <c r="E2" s="383"/>
      <c r="F2" s="384"/>
      <c r="G2" s="52"/>
    </row>
    <row r="3" spans="1:8" ht="25.5" customHeight="1" x14ac:dyDescent="0.35">
      <c r="A3" s="382" t="s">
        <v>274</v>
      </c>
      <c r="B3" s="383"/>
      <c r="C3" s="383"/>
      <c r="D3" s="383"/>
      <c r="E3" s="383"/>
      <c r="F3" s="384"/>
      <c r="G3" s="52"/>
    </row>
    <row r="4" spans="1:8" x14ac:dyDescent="0.35"/>
    <row r="5" spans="1:8" ht="231" customHeight="1" x14ac:dyDescent="0.35">
      <c r="A5" s="419" t="s">
        <v>275</v>
      </c>
      <c r="B5" s="420"/>
      <c r="C5" s="421"/>
      <c r="D5" s="416" t="s">
        <v>276</v>
      </c>
      <c r="E5" s="417"/>
      <c r="F5" s="418"/>
      <c r="G5" s="254"/>
      <c r="H5" s="161"/>
    </row>
    <row r="6" spans="1:8" x14ac:dyDescent="0.35">
      <c r="H6" s="158"/>
    </row>
    <row r="7" spans="1:8" ht="39" customHeight="1" x14ac:dyDescent="0.35">
      <c r="A7" s="424" t="s">
        <v>277</v>
      </c>
      <c r="B7" s="425" t="s">
        <v>278</v>
      </c>
      <c r="C7" s="425"/>
      <c r="D7" s="118" t="str">
        <f>D18</f>
        <v>Reprogramação
 2023</v>
      </c>
      <c r="E7" s="118" t="str">
        <f>E18</f>
        <v>Programação
 2024</v>
      </c>
      <c r="F7" s="118" t="s">
        <v>279</v>
      </c>
      <c r="G7" s="262"/>
      <c r="H7" s="158"/>
    </row>
    <row r="8" spans="1:8" ht="39" customHeight="1" x14ac:dyDescent="0.35">
      <c r="A8" s="424"/>
      <c r="B8" s="427" t="s">
        <v>280</v>
      </c>
      <c r="C8" s="427"/>
      <c r="D8" s="171">
        <v>8788168.7800000012</v>
      </c>
      <c r="E8" s="188">
        <f>'Anexo 3. Elemento de Despesas'!F49</f>
        <v>9745604.0500000007</v>
      </c>
      <c r="F8" s="102">
        <f t="shared" ref="F8:F10" si="0">IFERROR(E8/D8*-1,0)</f>
        <v>-1.1089459356059386</v>
      </c>
      <c r="G8" s="263" t="b">
        <v>1</v>
      </c>
      <c r="H8" s="158"/>
    </row>
    <row r="9" spans="1:8" ht="39" customHeight="1" x14ac:dyDescent="0.35">
      <c r="A9" s="424"/>
      <c r="B9" s="427" t="s">
        <v>281</v>
      </c>
      <c r="C9" s="427"/>
      <c r="D9" s="171">
        <v>1532520.87</v>
      </c>
      <c r="E9" s="172">
        <v>1774790.14</v>
      </c>
      <c r="F9" s="102">
        <f t="shared" si="0"/>
        <v>-1.1580854621575234</v>
      </c>
      <c r="G9" s="263" t="b">
        <v>1</v>
      </c>
      <c r="H9" s="278">
        <f>749875.4+988993.67+35921.07</f>
        <v>1774790.1400000001</v>
      </c>
    </row>
    <row r="10" spans="1:8" ht="39" customHeight="1" x14ac:dyDescent="0.35">
      <c r="A10" s="424"/>
      <c r="B10" s="427" t="s">
        <v>282</v>
      </c>
      <c r="C10" s="427"/>
      <c r="D10" s="189">
        <f>'Anexo 1. Fontes e Aplicações'!C8</f>
        <v>15134473.700000001</v>
      </c>
      <c r="E10" s="188">
        <f>'Anexo 1. Fontes e Aplicações'!D8</f>
        <v>15767683.309999999</v>
      </c>
      <c r="F10" s="102">
        <f t="shared" si="0"/>
        <v>-1.0418388919596191</v>
      </c>
      <c r="G10" s="263" t="b">
        <v>1</v>
      </c>
      <c r="H10" s="158"/>
    </row>
    <row r="11" spans="1:8" ht="36" customHeight="1" x14ac:dyDescent="0.35">
      <c r="A11" s="429"/>
      <c r="B11" s="429"/>
      <c r="C11" s="88"/>
      <c r="D11" s="297" t="b">
        <f>D10='Anexo 1. Fontes e Aplicações'!C8</f>
        <v>1</v>
      </c>
      <c r="E11" s="297" t="b">
        <f>E10='Anexo 1. Fontes e Aplicações'!D8</f>
        <v>1</v>
      </c>
      <c r="F11" s="89"/>
      <c r="G11" s="89"/>
      <c r="H11" s="162"/>
    </row>
    <row r="12" spans="1:8" ht="39" customHeight="1" x14ac:dyDescent="0.35">
      <c r="A12" s="425" t="s">
        <v>283</v>
      </c>
      <c r="B12" s="425"/>
      <c r="C12" s="425"/>
      <c r="D12" s="118" t="str">
        <f>D18</f>
        <v>Reprogramação
 2023</v>
      </c>
      <c r="E12" s="118" t="str">
        <f>E18</f>
        <v>Programação
 2024</v>
      </c>
      <c r="F12" s="118" t="s">
        <v>284</v>
      </c>
      <c r="G12" s="262"/>
      <c r="H12" s="162"/>
    </row>
    <row r="13" spans="1:8" ht="35.25" customHeight="1" x14ac:dyDescent="0.35">
      <c r="A13" s="423" t="s">
        <v>285</v>
      </c>
      <c r="B13" s="423"/>
      <c r="C13" s="100" t="s">
        <v>93</v>
      </c>
      <c r="D13" s="189">
        <f>(D8-D9)</f>
        <v>7255647.9100000011</v>
      </c>
      <c r="E13" s="188">
        <f>(E8-E9)</f>
        <v>7970813.9100000011</v>
      </c>
      <c r="F13" s="102">
        <f>IFERROR(E13/D13*-1,0)</f>
        <v>-1.0985668004940443</v>
      </c>
      <c r="G13" s="263" t="b">
        <v>1</v>
      </c>
      <c r="H13" s="159"/>
    </row>
    <row r="14" spans="1:8" ht="35.25" customHeight="1" x14ac:dyDescent="0.35">
      <c r="A14" s="423"/>
      <c r="B14" s="423"/>
      <c r="C14" s="133" t="s">
        <v>286</v>
      </c>
      <c r="D14" s="103">
        <f>IFERROR(D13/D10,)</f>
        <v>0.47941197386996026</v>
      </c>
      <c r="E14" s="103">
        <f>IFERROR(E13/E10,)</f>
        <v>0.5055158550111698</v>
      </c>
      <c r="F14" s="101">
        <f>(E14-D14)*100</f>
        <v>2.610388114120954</v>
      </c>
      <c r="G14" s="263" t="b">
        <v>1</v>
      </c>
      <c r="H14" s="158"/>
    </row>
    <row r="15" spans="1:8" ht="35.25" customHeight="1" x14ac:dyDescent="0.35">
      <c r="A15" s="423" t="s">
        <v>591</v>
      </c>
      <c r="B15" s="423"/>
      <c r="C15" s="100" t="s">
        <v>93</v>
      </c>
      <c r="D15" s="171">
        <f>'Quadro Geral'!H24</f>
        <v>241073.36</v>
      </c>
      <c r="E15" s="184">
        <f>'Matriz de Obj. Estrat.'!J16</f>
        <v>159416.20000000001</v>
      </c>
      <c r="F15" s="102">
        <f>IFERROR(E15/D15*-1,0)</f>
        <v>-0.66127671676372712</v>
      </c>
      <c r="G15" s="263" t="b">
        <v>1</v>
      </c>
      <c r="H15" s="159"/>
    </row>
    <row r="16" spans="1:8" ht="35.25" customHeight="1" x14ac:dyDescent="0.35">
      <c r="A16" s="423"/>
      <c r="B16" s="423"/>
      <c r="C16" s="134" t="s">
        <v>286</v>
      </c>
      <c r="D16" s="103">
        <f>IFERROR(D15/D8,)</f>
        <v>2.7431580575538281E-2</v>
      </c>
      <c r="E16" s="103">
        <f>IFERROR(E15/E8,)</f>
        <v>1.6357754653494261E-2</v>
      </c>
      <c r="F16" s="101">
        <f>(E16-D16)*100</f>
        <v>-1.107382592204402</v>
      </c>
      <c r="G16" s="263" t="b">
        <v>1</v>
      </c>
      <c r="H16" s="278" t="s">
        <v>590</v>
      </c>
    </row>
    <row r="17" spans="1:8" ht="39" customHeight="1" x14ac:dyDescent="0.35">
      <c r="E17" s="232"/>
      <c r="H17" s="159"/>
    </row>
    <row r="18" spans="1:8" ht="39" customHeight="1" x14ac:dyDescent="0.35">
      <c r="A18" s="424" t="s">
        <v>277</v>
      </c>
      <c r="B18" s="425" t="s">
        <v>287</v>
      </c>
      <c r="C18" s="425"/>
      <c r="D18" s="118" t="s">
        <v>288</v>
      </c>
      <c r="E18" s="118" t="s">
        <v>289</v>
      </c>
      <c r="F18" s="118" t="s">
        <v>279</v>
      </c>
      <c r="G18" s="262"/>
      <c r="H18" s="158"/>
    </row>
    <row r="19" spans="1:8" ht="36.75" customHeight="1" x14ac:dyDescent="0.35">
      <c r="A19" s="424"/>
      <c r="B19" s="426" t="s">
        <v>290</v>
      </c>
      <c r="C19" s="426"/>
      <c r="D19" s="189">
        <f>'Anexo 1. Fontes e Aplicações'!C9</f>
        <v>12985684.140000001</v>
      </c>
      <c r="E19" s="184">
        <f>'Anexo 1. Fontes e Aplicações'!D9</f>
        <v>13810599.309999999</v>
      </c>
      <c r="F19" s="102">
        <f>IFERROR(E19/D19-1,0)</f>
        <v>6.352496804223029E-2</v>
      </c>
      <c r="G19" s="263" t="b">
        <v>1</v>
      </c>
      <c r="H19" s="159"/>
    </row>
    <row r="20" spans="1:8" ht="36.75" customHeight="1" x14ac:dyDescent="0.35">
      <c r="A20" s="424"/>
      <c r="B20" s="426" t="s">
        <v>291</v>
      </c>
      <c r="C20" s="426"/>
      <c r="D20" s="189">
        <f>'Anexo 1. Fontes e Aplicações'!C21</f>
        <v>0</v>
      </c>
      <c r="E20" s="184">
        <f>'Anexo 1. Fontes e Aplicações'!D21</f>
        <v>0</v>
      </c>
      <c r="F20" s="103">
        <f t="shared" ref="F20:F23" si="1">IFERROR(E20/D20-1,0)</f>
        <v>0</v>
      </c>
      <c r="G20" s="263" t="b">
        <v>1</v>
      </c>
      <c r="H20" s="158"/>
    </row>
    <row r="21" spans="1:8" ht="36.75" customHeight="1" x14ac:dyDescent="0.35">
      <c r="A21" s="424"/>
      <c r="B21" s="428" t="s">
        <v>292</v>
      </c>
      <c r="C21" s="428"/>
      <c r="D21" s="168">
        <f>SUM(D19:D20)</f>
        <v>12985684.140000001</v>
      </c>
      <c r="E21" s="168">
        <f>SUM(E19:E20)</f>
        <v>13810599.309999999</v>
      </c>
      <c r="F21" s="164">
        <f t="shared" si="1"/>
        <v>6.352496804223029E-2</v>
      </c>
      <c r="G21" s="263" t="b">
        <v>1</v>
      </c>
      <c r="H21" s="159"/>
    </row>
    <row r="22" spans="1:8" ht="36.75" customHeight="1" x14ac:dyDescent="0.35">
      <c r="A22" s="424"/>
      <c r="B22" s="426" t="s">
        <v>293</v>
      </c>
      <c r="C22" s="426"/>
      <c r="D22" s="189">
        <f>'Anexo 1. Fontes e Aplicações'!C31</f>
        <v>177637.15</v>
      </c>
      <c r="E22" s="184">
        <f>'Anexo 1. Fontes e Aplicações'!D31</f>
        <v>256850.45</v>
      </c>
      <c r="F22" s="103">
        <f t="shared" si="1"/>
        <v>0.44592755513134508</v>
      </c>
      <c r="G22" s="263" t="b">
        <v>1</v>
      </c>
      <c r="H22" s="158"/>
    </row>
    <row r="23" spans="1:8" ht="36.75" customHeight="1" x14ac:dyDescent="0.35">
      <c r="A23" s="424"/>
      <c r="B23" s="375" t="s">
        <v>294</v>
      </c>
      <c r="C23" s="375"/>
      <c r="D23" s="168">
        <f>D21-D22</f>
        <v>12808046.99</v>
      </c>
      <c r="E23" s="168">
        <f>E21-E22</f>
        <v>13553748.859999999</v>
      </c>
      <c r="F23" s="164">
        <f t="shared" si="1"/>
        <v>5.8221356509873257E-2</v>
      </c>
      <c r="G23" s="263" t="b">
        <v>1</v>
      </c>
      <c r="H23" s="159"/>
    </row>
    <row r="24" spans="1:8" ht="39" customHeight="1" x14ac:dyDescent="0.35">
      <c r="A24" s="91"/>
      <c r="B24" s="92"/>
      <c r="C24" s="92"/>
      <c r="D24" s="93"/>
      <c r="E24" s="93"/>
      <c r="F24" s="90"/>
      <c r="G24" s="90"/>
      <c r="H24" s="158"/>
    </row>
    <row r="25" spans="1:8" ht="39" customHeight="1" x14ac:dyDescent="0.35">
      <c r="A25" s="424" t="s">
        <v>295</v>
      </c>
      <c r="B25" s="425" t="s">
        <v>283</v>
      </c>
      <c r="C25" s="425"/>
      <c r="D25" s="118" t="str">
        <f>D18</f>
        <v>Reprogramação
 2023</v>
      </c>
      <c r="E25" s="118" t="str">
        <f>E18</f>
        <v>Programação
 2024</v>
      </c>
      <c r="F25" s="118" t="s">
        <v>279</v>
      </c>
      <c r="G25" s="262"/>
      <c r="H25" s="159"/>
    </row>
    <row r="26" spans="1:8" ht="36.75" customHeight="1" x14ac:dyDescent="0.35">
      <c r="A26" s="424"/>
      <c r="B26" s="430" t="s">
        <v>296</v>
      </c>
      <c r="C26" s="100" t="s">
        <v>93</v>
      </c>
      <c r="D26" s="171">
        <v>3042522.3899999997</v>
      </c>
      <c r="E26" s="201">
        <f>'Matriz de Obj. Estrat.'!J5</f>
        <v>3398030</v>
      </c>
      <c r="F26" s="103">
        <f>IFERROR(E26/D26*-1,)</f>
        <v>-1.1168463414331686</v>
      </c>
      <c r="G26" s="265" t="b">
        <v>1</v>
      </c>
      <c r="H26" s="278">
        <f>'Matriz de Obj. Estrat.'!J5</f>
        <v>3398030</v>
      </c>
    </row>
    <row r="27" spans="1:8" ht="36.75" customHeight="1" x14ac:dyDescent="0.35">
      <c r="A27" s="424"/>
      <c r="B27" s="430"/>
      <c r="C27" s="133" t="s">
        <v>286</v>
      </c>
      <c r="D27" s="102">
        <f>IFERROR(D26/$D$23,0)</f>
        <v>0.23754772233233348</v>
      </c>
      <c r="E27" s="102">
        <f>IFERROR(E26/$E$23,0)</f>
        <v>0.25070775879788582</v>
      </c>
      <c r="F27" s="101">
        <f>(E27-D27)*100</f>
        <v>1.3160036465552332</v>
      </c>
      <c r="G27" s="265" t="b">
        <v>1</v>
      </c>
    </row>
    <row r="28" spans="1:8" ht="36.75" customHeight="1" x14ac:dyDescent="0.35">
      <c r="A28" s="424"/>
      <c r="B28" s="430" t="s">
        <v>297</v>
      </c>
      <c r="C28" s="100" t="s">
        <v>93</v>
      </c>
      <c r="D28" s="171">
        <v>500000</v>
      </c>
      <c r="E28" s="172">
        <f>'Matriz de Obj. Estrat.'!J13</f>
        <v>530094.43000000005</v>
      </c>
      <c r="F28" s="103">
        <f>IFERROR(E28/D28*-1,)</f>
        <v>-1.06018886</v>
      </c>
      <c r="G28" s="265" t="b">
        <v>1</v>
      </c>
      <c r="H28" s="279">
        <f>'Quadro Geral'!I14+'Quadro Geral'!I21</f>
        <v>530094.43000000005</v>
      </c>
    </row>
    <row r="29" spans="1:8" ht="36.75" customHeight="1" x14ac:dyDescent="0.35">
      <c r="A29" s="424"/>
      <c r="B29" s="430"/>
      <c r="C29" s="133" t="s">
        <v>286</v>
      </c>
      <c r="D29" s="102">
        <f>IFERROR(D28/$D$23,0)</f>
        <v>3.9037957964268837E-2</v>
      </c>
      <c r="E29" s="102">
        <f>IFERROR(E28/$E$23,0)</f>
        <v>3.9110539488039477E-2</v>
      </c>
      <c r="F29" s="101">
        <f>(E29-D29)*100</f>
        <v>7.2581523770640088E-3</v>
      </c>
      <c r="G29" s="265" t="b">
        <v>1</v>
      </c>
    </row>
    <row r="30" spans="1:8" ht="36.75" customHeight="1" x14ac:dyDescent="0.35">
      <c r="A30" s="424"/>
      <c r="B30" s="422" t="s">
        <v>298</v>
      </c>
      <c r="C30" s="100" t="s">
        <v>93</v>
      </c>
      <c r="D30" s="171">
        <v>3562095.35</v>
      </c>
      <c r="E30" s="201">
        <f>'Matriz de Obj. Estrat.'!J6</f>
        <v>3917427.6499999994</v>
      </c>
      <c r="F30" s="103">
        <f>IFERROR(E30/D30*-1,)</f>
        <v>-1.0997537306237464</v>
      </c>
      <c r="G30" s="265" t="b">
        <v>1</v>
      </c>
      <c r="H30" s="279">
        <f>'Matriz de Obj. Estrat.'!J6</f>
        <v>3917427.6499999994</v>
      </c>
    </row>
    <row r="31" spans="1:8" ht="36.75" customHeight="1" x14ac:dyDescent="0.35">
      <c r="A31" s="424"/>
      <c r="B31" s="422"/>
      <c r="C31" s="133" t="s">
        <v>286</v>
      </c>
      <c r="D31" s="102">
        <f>IFERROR(D30/$D$23,0)</f>
        <v>0.27811385707603498</v>
      </c>
      <c r="E31" s="102">
        <f>IFERROR(E30/$E$23,0)</f>
        <v>0.28902908637780378</v>
      </c>
      <c r="F31" s="101">
        <f>(E31-D31)*100</f>
        <v>1.0915229301768803</v>
      </c>
      <c r="G31" s="265" t="b">
        <v>1</v>
      </c>
    </row>
    <row r="32" spans="1:8" ht="36.75" customHeight="1" x14ac:dyDescent="0.35">
      <c r="A32" s="424"/>
      <c r="B32" s="422" t="s">
        <v>299</v>
      </c>
      <c r="C32" s="100" t="s">
        <v>93</v>
      </c>
      <c r="D32" s="171">
        <v>818446.65</v>
      </c>
      <c r="E32" s="201">
        <f>'Matriz de Obj. Estrat.'!J11</f>
        <v>1334579.6800000002</v>
      </c>
      <c r="F32" s="103">
        <f>IFERROR(E32/D32*-1,)</f>
        <v>-1.630625136042771</v>
      </c>
      <c r="G32" s="265" t="b">
        <v>1</v>
      </c>
      <c r="H32" s="279">
        <f>'Matriz de Obj. Estrat.'!J11</f>
        <v>1334579.6800000002</v>
      </c>
    </row>
    <row r="33" spans="1:8" ht="36.75" customHeight="1" x14ac:dyDescent="0.35">
      <c r="A33" s="424"/>
      <c r="B33" s="422"/>
      <c r="C33" s="133" t="s">
        <v>286</v>
      </c>
      <c r="D33" s="102">
        <f>IFERROR(D32/$D$23,0)</f>
        <v>6.3900971837393294E-2</v>
      </c>
      <c r="E33" s="102">
        <f>IFERROR(E32/$E$23,0)</f>
        <v>9.8465722936524905E-2</v>
      </c>
      <c r="F33" s="101">
        <f>(E33-D33)*100</f>
        <v>3.456475109913161</v>
      </c>
      <c r="G33" s="265" t="b">
        <v>1</v>
      </c>
    </row>
    <row r="34" spans="1:8" ht="36.75" customHeight="1" x14ac:dyDescent="0.35">
      <c r="A34" s="424"/>
      <c r="B34" s="422" t="s">
        <v>300</v>
      </c>
      <c r="C34" s="100" t="s">
        <v>93</v>
      </c>
      <c r="D34" s="171">
        <v>545000</v>
      </c>
      <c r="E34" s="171">
        <f>'Quadro Geral'!I18+'Quadro Geral'!I19+'Quadro Geral'!I20+'Quadro Geral'!I48</f>
        <v>450000</v>
      </c>
      <c r="F34" s="103">
        <f>IFERROR(E34/D34*-1,)</f>
        <v>-0.82568807339449546</v>
      </c>
      <c r="G34" s="265" t="b">
        <v>1</v>
      </c>
      <c r="H34" s="279">
        <f>'Quadro Geral'!I18+'Quadro Geral'!I19+'Quadro Geral'!I48</f>
        <v>450000</v>
      </c>
    </row>
    <row r="35" spans="1:8" ht="36.75" customHeight="1" x14ac:dyDescent="0.35">
      <c r="A35" s="424"/>
      <c r="B35" s="422"/>
      <c r="C35" s="133" t="s">
        <v>286</v>
      </c>
      <c r="D35" s="102">
        <f>IFERROR(D34/$D$23,0)</f>
        <v>4.255137418105303E-2</v>
      </c>
      <c r="E35" s="102">
        <f>IFERROR(E34/$E$23,0)</f>
        <v>3.3201146387479986E-2</v>
      </c>
      <c r="F35" s="101">
        <f>(E35-D35)*100</f>
        <v>-0.93502277935730427</v>
      </c>
      <c r="G35" s="265" t="b">
        <v>1</v>
      </c>
    </row>
    <row r="36" spans="1:8" ht="36.75" customHeight="1" x14ac:dyDescent="0.35">
      <c r="A36" s="424"/>
      <c r="B36" s="422" t="s">
        <v>301</v>
      </c>
      <c r="C36" s="100" t="s">
        <v>93</v>
      </c>
      <c r="D36" s="171">
        <f>'Quadro Geral'!H15+'Quadro Geral'!H18</f>
        <v>420953.18</v>
      </c>
      <c r="E36" s="201">
        <f>'Quadro Geral'!I15+'Quadro Geral'!I18</f>
        <v>280094.43</v>
      </c>
      <c r="F36" s="103">
        <f>IFERROR(E36/D36*-1,)</f>
        <v>-0.66538143268094563</v>
      </c>
      <c r="G36" s="265"/>
      <c r="H36" s="280">
        <f>'Quadro Geral'!I15+'Quadro Geral'!I18</f>
        <v>280094.43</v>
      </c>
    </row>
    <row r="37" spans="1:8" ht="36.75" customHeight="1" x14ac:dyDescent="0.35">
      <c r="A37" s="424"/>
      <c r="B37" s="422"/>
      <c r="C37" s="133" t="s">
        <v>286</v>
      </c>
      <c r="D37" s="102">
        <f>IFERROR(D36/$D$23,0)</f>
        <v>3.2866305091530587E-2</v>
      </c>
      <c r="E37" s="102">
        <f>IFERROR(E36/$E$23,0)</f>
        <v>2.0665458161661703E-2</v>
      </c>
      <c r="F37" s="101">
        <f>(E37-D37)*100</f>
        <v>-1.2200846929868885</v>
      </c>
      <c r="G37" s="264"/>
    </row>
    <row r="38" spans="1:8" ht="36.75" customHeight="1" x14ac:dyDescent="0.35">
      <c r="A38" s="424"/>
      <c r="B38" s="422" t="s">
        <v>302</v>
      </c>
      <c r="C38" s="100" t="s">
        <v>93</v>
      </c>
      <c r="D38" s="171">
        <v>3839447.44</v>
      </c>
      <c r="E38" s="201">
        <f>'Matriz de Obj. Estrat.'!J6+'Matriz de Obj. Estrat.'!J10+'Matriz de Obj. Estrat.'!J15</f>
        <v>6531004.5999999996</v>
      </c>
      <c r="F38" s="103">
        <f>IFERROR(E38/D38*-1,)</f>
        <v>-1.7010272186458164</v>
      </c>
      <c r="G38" s="265" t="b">
        <v>1</v>
      </c>
      <c r="H38" s="279">
        <f>'Matriz de Obj. Estrat.'!K21</f>
        <v>6420910.1699999999</v>
      </c>
    </row>
    <row r="39" spans="1:8" ht="36.75" customHeight="1" x14ac:dyDescent="0.35">
      <c r="A39" s="424"/>
      <c r="B39" s="422"/>
      <c r="C39" s="133" t="s">
        <v>286</v>
      </c>
      <c r="D39" s="102">
        <f>IFERROR(D38/$D$23,0)</f>
        <v>0.2997683755374792</v>
      </c>
      <c r="E39" s="102">
        <f>IFERROR(E38/$E$23,0)</f>
        <v>0.48185964395978931</v>
      </c>
      <c r="F39" s="101">
        <f>(E39-D39)*100</f>
        <v>18.209126842231012</v>
      </c>
      <c r="G39" s="265" t="b">
        <v>1</v>
      </c>
    </row>
    <row r="40" spans="1:8" ht="36.75" customHeight="1" x14ac:dyDescent="0.35">
      <c r="A40" s="424"/>
      <c r="B40" s="422" t="s">
        <v>303</v>
      </c>
      <c r="C40" s="100" t="s">
        <v>93</v>
      </c>
      <c r="D40" s="200">
        <f>'Anexo 1. Fontes e Aplicações'!C33</f>
        <v>60000</v>
      </c>
      <c r="E40" s="200">
        <f>'Quadro Geral'!I38</f>
        <v>60000</v>
      </c>
      <c r="F40" s="103">
        <f>IFERROR(E40/D40*-1,)</f>
        <v>-1</v>
      </c>
      <c r="G40" s="265" t="b">
        <v>1</v>
      </c>
      <c r="H40" s="279">
        <f>'Anexo 1. Fontes e Aplicações'!D33</f>
        <v>60000</v>
      </c>
    </row>
    <row r="41" spans="1:8" ht="36.75" customHeight="1" x14ac:dyDescent="0.35">
      <c r="A41" s="424"/>
      <c r="B41" s="422"/>
      <c r="C41" s="133" t="s">
        <v>286</v>
      </c>
      <c r="D41" s="102">
        <f>IFERROR(D40/$D$23,0)</f>
        <v>4.6845549557122607E-3</v>
      </c>
      <c r="E41" s="102">
        <f>IFERROR(E40/$E$23,0)</f>
        <v>4.4268195183306651E-3</v>
      </c>
      <c r="F41" s="101">
        <f>(E41-D41)*100</f>
        <v>-2.5773543738159561E-2</v>
      </c>
      <c r="G41" s="265" t="b">
        <v>1</v>
      </c>
      <c r="H41" s="163"/>
    </row>
    <row r="42" spans="1:8" x14ac:dyDescent="0.35"/>
    <row r="43" spans="1:8" x14ac:dyDescent="0.35">
      <c r="A43" s="396" t="s">
        <v>304</v>
      </c>
      <c r="B43" s="397"/>
      <c r="C43" s="397"/>
      <c r="D43" s="397"/>
      <c r="E43" s="397"/>
      <c r="F43" s="398"/>
      <c r="G43" s="256"/>
    </row>
    <row r="44" spans="1:8" ht="99.75" customHeight="1" x14ac:dyDescent="0.35">
      <c r="A44" s="368" t="s">
        <v>574</v>
      </c>
      <c r="B44" s="369"/>
      <c r="C44" s="369"/>
      <c r="D44" s="369"/>
      <c r="E44" s="369"/>
      <c r="F44" s="415"/>
      <c r="G44" s="260"/>
    </row>
    <row r="65" spans="8:8" hidden="1" x14ac:dyDescent="0.35">
      <c r="H65" s="51"/>
    </row>
    <row r="66" spans="8:8" hidden="1" x14ac:dyDescent="0.35">
      <c r="H66" s="51"/>
    </row>
  </sheetData>
  <sheetProtection selectLockedCells="1"/>
  <mergeCells count="33">
    <mergeCell ref="B40:B41"/>
    <mergeCell ref="B38:B39"/>
    <mergeCell ref="B32:B33"/>
    <mergeCell ref="B25:C25"/>
    <mergeCell ref="B26:B27"/>
    <mergeCell ref="B30:B31"/>
    <mergeCell ref="B28:B29"/>
    <mergeCell ref="B22:C22"/>
    <mergeCell ref="A11:B11"/>
    <mergeCell ref="A12:C12"/>
    <mergeCell ref="B23:C23"/>
    <mergeCell ref="A15:B16"/>
    <mergeCell ref="B8:C8"/>
    <mergeCell ref="B20:C20"/>
    <mergeCell ref="B9:C9"/>
    <mergeCell ref="B21:C21"/>
    <mergeCell ref="B10:C10"/>
    <mergeCell ref="A3:F3"/>
    <mergeCell ref="A2:F2"/>
    <mergeCell ref="A1:F1"/>
    <mergeCell ref="A43:F43"/>
    <mergeCell ref="A44:F44"/>
    <mergeCell ref="D5:F5"/>
    <mergeCell ref="A5:C5"/>
    <mergeCell ref="B34:B35"/>
    <mergeCell ref="A13:B14"/>
    <mergeCell ref="B36:B37"/>
    <mergeCell ref="A25:A41"/>
    <mergeCell ref="A18:A23"/>
    <mergeCell ref="B18:C18"/>
    <mergeCell ref="A7:A10"/>
    <mergeCell ref="B7:C7"/>
    <mergeCell ref="B19:C19"/>
  </mergeCells>
  <phoneticPr fontId="18" type="noConversion"/>
  <conditionalFormatting sqref="E27">
    <cfRule type="cellIs" dxfId="10" priority="8" operator="lessThan">
      <formula>0.25</formula>
    </cfRule>
  </conditionalFormatting>
  <conditionalFormatting sqref="E29">
    <cfRule type="cellIs" dxfId="9" priority="7" operator="lessThan">
      <formula>0.03</formula>
    </cfRule>
  </conditionalFormatting>
  <conditionalFormatting sqref="E31">
    <cfRule type="cellIs" dxfId="8" priority="6" operator="lessThan">
      <formula>0.1</formula>
    </cfRule>
  </conditionalFormatting>
  <conditionalFormatting sqref="E33">
    <cfRule type="cellIs" dxfId="7" priority="5" operator="lessThan">
      <formula>0.03</formula>
    </cfRule>
  </conditionalFormatting>
  <conditionalFormatting sqref="E35">
    <cfRule type="cellIs" dxfId="6" priority="4" operator="greaterThan">
      <formula>0.05</formula>
    </cfRule>
  </conditionalFormatting>
  <conditionalFormatting sqref="E37">
    <cfRule type="cellIs" dxfId="5" priority="3" operator="lessThan">
      <formula>0.02</formula>
    </cfRule>
  </conditionalFormatting>
  <conditionalFormatting sqref="E39">
    <cfRule type="cellIs" dxfId="4" priority="2" operator="lessThan">
      <formula>0.06</formula>
    </cfRule>
  </conditionalFormatting>
  <conditionalFormatting sqref="E41">
    <cfRule type="cellIs" dxfId="3" priority="1" operator="greaterThan">
      <formula>0.02</formula>
    </cfRule>
  </conditionalFormatting>
  <printOptions horizontalCentered="1" verticalCentered="1"/>
  <pageMargins left="0" right="0" top="0" bottom="0" header="0" footer="0"/>
  <pageSetup paperSize="9" scale="60" orientation="portrait" r:id="rId1"/>
  <ignoredErrors>
    <ignoredError sqref="E36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8">
    <tabColor rgb="FFFF0000"/>
    <pageSetUpPr fitToPage="1"/>
  </sheetPr>
  <dimension ref="A1:Z55"/>
  <sheetViews>
    <sheetView showGridLines="0" zoomScale="90" zoomScaleNormal="90" workbookViewId="0">
      <selection activeCell="C10" sqref="C10"/>
    </sheetView>
  </sheetViews>
  <sheetFormatPr defaultColWidth="16.453125" defaultRowHeight="26" x14ac:dyDescent="0.35"/>
  <cols>
    <col min="1" max="1" width="51.54296875" style="78" customWidth="1"/>
    <col min="2" max="2" width="11.1796875" style="270" customWidth="1"/>
    <col min="3" max="3" width="60.54296875" style="78" customWidth="1"/>
    <col min="4" max="4" width="18.7265625" style="78" bestFit="1" customWidth="1"/>
    <col min="5" max="5" width="5.81640625" style="78" customWidth="1"/>
    <col min="6" max="14" width="16.81640625" style="78" customWidth="1"/>
    <col min="15" max="15" width="18.1796875" style="78" bestFit="1" customWidth="1"/>
    <col min="16" max="16" width="16.81640625" style="78" customWidth="1"/>
    <col min="17" max="17" width="18.1796875" style="78" bestFit="1" customWidth="1"/>
    <col min="18" max="18" width="11.81640625" style="78" customWidth="1"/>
    <col min="19" max="19" width="17.54296875" style="78" customWidth="1"/>
    <col min="20" max="20" width="26.7265625" style="202" customWidth="1"/>
    <col min="21" max="40" width="16.453125" style="202" customWidth="1"/>
    <col min="41" max="16381" width="16.453125" style="202"/>
    <col min="16382" max="16384" width="10" style="202" customWidth="1"/>
  </cols>
  <sheetData>
    <row r="1" spans="1:26" s="187" customFormat="1" x14ac:dyDescent="0.35">
      <c r="A1" s="122" t="s">
        <v>305</v>
      </c>
      <c r="B1" s="267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85"/>
      <c r="T1" s="186"/>
    </row>
    <row r="2" spans="1:26" x14ac:dyDescent="0.35">
      <c r="A2" s="336" t="str">
        <f>'Indicadores e Metas'!A2:F2</f>
        <v>CAU/UF:  Conselho de Arquitetura e Urbanismo do Estado de Minas Gerais- CAU/MG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26" x14ac:dyDescent="0.35">
      <c r="A3" s="382" t="s">
        <v>306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/>
    </row>
    <row r="5" spans="1:26" s="96" customFormat="1" ht="25.5" customHeight="1" x14ac:dyDescent="0.35">
      <c r="A5" s="337" t="s">
        <v>211</v>
      </c>
      <c r="B5" s="442" t="str">
        <f>'Quadro Geral'!B6</f>
        <v>P/A/ PE</v>
      </c>
      <c r="C5" s="440" t="s">
        <v>307</v>
      </c>
      <c r="D5" s="440" t="s">
        <v>308</v>
      </c>
      <c r="E5" s="203"/>
      <c r="F5" s="441" t="s">
        <v>309</v>
      </c>
      <c r="G5" s="441"/>
      <c r="H5" s="438" t="s">
        <v>310</v>
      </c>
      <c r="I5" s="434" t="s">
        <v>311</v>
      </c>
      <c r="J5" s="435"/>
      <c r="K5" s="435"/>
      <c r="L5" s="436" t="s">
        <v>312</v>
      </c>
      <c r="M5" s="436" t="s">
        <v>313</v>
      </c>
      <c r="N5" s="436" t="s">
        <v>314</v>
      </c>
      <c r="O5" s="436" t="s">
        <v>315</v>
      </c>
      <c r="P5" s="440" t="s">
        <v>316</v>
      </c>
      <c r="Q5" s="441" t="s">
        <v>259</v>
      </c>
      <c r="R5" s="441" t="s">
        <v>317</v>
      </c>
      <c r="S5" s="431"/>
    </row>
    <row r="6" spans="1:26" s="96" customFormat="1" ht="31" x14ac:dyDescent="0.35">
      <c r="A6" s="337"/>
      <c r="B6" s="443"/>
      <c r="C6" s="440"/>
      <c r="D6" s="440"/>
      <c r="E6" s="203"/>
      <c r="F6" s="123" t="s">
        <v>318</v>
      </c>
      <c r="G6" s="123" t="s">
        <v>319</v>
      </c>
      <c r="H6" s="439"/>
      <c r="I6" s="123" t="s">
        <v>319</v>
      </c>
      <c r="J6" s="123" t="s">
        <v>320</v>
      </c>
      <c r="K6" s="123" t="s">
        <v>321</v>
      </c>
      <c r="L6" s="436"/>
      <c r="M6" s="436"/>
      <c r="N6" s="436"/>
      <c r="O6" s="436"/>
      <c r="P6" s="440"/>
      <c r="Q6" s="441"/>
      <c r="R6" s="441"/>
      <c r="S6" s="431"/>
      <c r="T6" s="113" t="s">
        <v>322</v>
      </c>
      <c r="U6" s="112"/>
      <c r="V6" s="112"/>
      <c r="W6" s="112"/>
      <c r="X6" s="112"/>
      <c r="Y6" s="112"/>
      <c r="Z6" s="112"/>
    </row>
    <row r="7" spans="1:26" ht="33" customHeight="1" x14ac:dyDescent="0.35">
      <c r="A7" s="98" t="str">
        <f>'Quadro Geral'!A8</f>
        <v>Comissão de Ensino e Formação (CEF)</v>
      </c>
      <c r="B7" s="268" t="str">
        <f>'Quadro Geral'!B8</f>
        <v>A</v>
      </c>
      <c r="C7" s="99" t="str">
        <f>'Quadro Geral'!C8</f>
        <v>Manter e Desenvolver as Atividades da Comissão de Ensino e Formação</v>
      </c>
      <c r="D7" s="165">
        <f>'Quadro Geral'!I8</f>
        <v>130377.72</v>
      </c>
      <c r="E7" s="204"/>
      <c r="F7" s="166"/>
      <c r="G7" s="166"/>
      <c r="H7" s="166"/>
      <c r="I7" s="166">
        <v>60188.86</v>
      </c>
      <c r="J7" s="166">
        <v>60188.86</v>
      </c>
      <c r="K7" s="166"/>
      <c r="L7" s="166">
        <v>10000</v>
      </c>
      <c r="M7" s="166"/>
      <c r="N7" s="166"/>
      <c r="O7" s="167">
        <f>SUM(F7:N7)</f>
        <v>130377.72</v>
      </c>
      <c r="P7" s="166"/>
      <c r="Q7" s="167">
        <f>O7+P7</f>
        <v>130377.72</v>
      </c>
      <c r="R7" s="170">
        <f t="shared" ref="R7:R48" si="0">IFERROR(Q7/$Q$49,0)</f>
        <v>7.6032264908909167E-3</v>
      </c>
      <c r="S7" s="205" t="b">
        <f>D7=Q7</f>
        <v>1</v>
      </c>
      <c r="T7" s="78" t="str">
        <f>'Quadro Geral'!E8</f>
        <v>Influenciar as diretrizes do ensino de Arquitetura e Urbanismo e sua formação continuada</v>
      </c>
    </row>
    <row r="8" spans="1:26" ht="33" customHeight="1" x14ac:dyDescent="0.35">
      <c r="A8" s="98" t="str">
        <f>'Quadro Geral'!A9</f>
        <v>Comissão de Ética e Disciplina (CED)</v>
      </c>
      <c r="B8" s="268" t="str">
        <f>'Quadro Geral'!B9</f>
        <v>A</v>
      </c>
      <c r="C8" s="99" t="str">
        <f>'Quadro Geral'!C9</f>
        <v>Manter e Desenvolver as Atividades da Comissão de Ética e Disciplina</v>
      </c>
      <c r="D8" s="165">
        <f>'Quadro Geral'!I9</f>
        <v>210661.01</v>
      </c>
      <c r="E8" s="204"/>
      <c r="F8" s="166"/>
      <c r="G8" s="166"/>
      <c r="H8" s="166"/>
      <c r="I8" s="166">
        <v>105330.505</v>
      </c>
      <c r="J8" s="166">
        <v>105330.505</v>
      </c>
      <c r="K8" s="166"/>
      <c r="L8" s="166"/>
      <c r="M8" s="166"/>
      <c r="N8" s="166"/>
      <c r="O8" s="167">
        <f t="shared" ref="O8:O48" si="1">SUM(F8:N8)</f>
        <v>210661.01</v>
      </c>
      <c r="P8" s="166"/>
      <c r="Q8" s="167">
        <f t="shared" ref="Q8:Q46" si="2">O8+P8</f>
        <v>210661.01</v>
      </c>
      <c r="R8" s="170">
        <f t="shared" si="0"/>
        <v>1.2285100336390577E-2</v>
      </c>
      <c r="S8" s="205" t="b">
        <f t="shared" ref="S8:S48" si="3">D8=Q8</f>
        <v>1</v>
      </c>
      <c r="T8" s="78" t="str">
        <f>'Quadro Geral'!E9</f>
        <v>Promover o exercício ético e qualificado da profissão</v>
      </c>
    </row>
    <row r="9" spans="1:26" ht="33" customHeight="1" x14ac:dyDescent="0.35">
      <c r="A9" s="98" t="str">
        <f>'Quadro Geral'!A10</f>
        <v>Comissão de Exercício Profissional (CEP)</v>
      </c>
      <c r="B9" s="268" t="str">
        <f>'Quadro Geral'!B10</f>
        <v>A</v>
      </c>
      <c r="C9" s="99" t="str">
        <f>'Quadro Geral'!C10</f>
        <v>Manter e Desenvolver as Atividades da Comissão de Exercício Profissional</v>
      </c>
      <c r="D9" s="165">
        <f>'Quadro Geral'!I10</f>
        <v>210661.01</v>
      </c>
      <c r="E9" s="204"/>
      <c r="F9" s="166"/>
      <c r="G9" s="166"/>
      <c r="H9" s="166"/>
      <c r="I9" s="166">
        <v>105330.505</v>
      </c>
      <c r="J9" s="166">
        <v>105330.505</v>
      </c>
      <c r="K9" s="166"/>
      <c r="L9" s="166"/>
      <c r="M9" s="166"/>
      <c r="N9" s="166"/>
      <c r="O9" s="167">
        <f t="shared" si="1"/>
        <v>210661.01</v>
      </c>
      <c r="P9" s="166"/>
      <c r="Q9" s="167">
        <f t="shared" si="2"/>
        <v>210661.01</v>
      </c>
      <c r="R9" s="170">
        <f t="shared" si="0"/>
        <v>1.2285100336390577E-2</v>
      </c>
      <c r="S9" s="205" t="b">
        <f t="shared" si="3"/>
        <v>1</v>
      </c>
      <c r="T9" s="78" t="str">
        <f>'Quadro Geral'!E10</f>
        <v>Tornar a fiscalização um vetor de melhoria do exercício da Arquitetura e Urbanismo</v>
      </c>
    </row>
    <row r="10" spans="1:26" ht="33" customHeight="1" x14ac:dyDescent="0.35">
      <c r="A10" s="98" t="str">
        <f>'Quadro Geral'!A11</f>
        <v>Comissão de Planejamento e Finanças (CPFi)</v>
      </c>
      <c r="B10" s="268" t="str">
        <f>'Quadro Geral'!B11</f>
        <v>A</v>
      </c>
      <c r="C10" s="99" t="str">
        <f>'Quadro Geral'!C11</f>
        <v>Manter e Desenvolver as Atividades da Comissão de Planejamento e Finanças</v>
      </c>
      <c r="D10" s="165">
        <f>'Quadro Geral'!I11</f>
        <v>90283.29</v>
      </c>
      <c r="E10" s="204"/>
      <c r="F10" s="166"/>
      <c r="G10" s="166"/>
      <c r="H10" s="166"/>
      <c r="I10" s="166">
        <v>45141.644999999997</v>
      </c>
      <c r="J10" s="166">
        <v>45141.644999999997</v>
      </c>
      <c r="K10" s="166"/>
      <c r="L10" s="166"/>
      <c r="M10" s="166"/>
      <c r="N10" s="166"/>
      <c r="O10" s="167">
        <f t="shared" si="1"/>
        <v>90283.29</v>
      </c>
      <c r="P10" s="166"/>
      <c r="Q10" s="167">
        <f t="shared" si="2"/>
        <v>90283.29</v>
      </c>
      <c r="R10" s="170">
        <f t="shared" si="0"/>
        <v>5.2650430013102467E-3</v>
      </c>
      <c r="S10" s="205" t="b">
        <f t="shared" si="3"/>
        <v>1</v>
      </c>
      <c r="T10" s="78" t="str">
        <f>'Quadro Geral'!E11</f>
        <v>Assegurar a sustentabilidade financeira</v>
      </c>
    </row>
    <row r="11" spans="1:26" ht="33" customHeight="1" x14ac:dyDescent="0.35">
      <c r="A11" s="98" t="str">
        <f>'Quadro Geral'!A12</f>
        <v>Comissão de Organização e Administração (COA)</v>
      </c>
      <c r="B11" s="268" t="str">
        <f>'Quadro Geral'!B12</f>
        <v>A</v>
      </c>
      <c r="C11" s="99" t="str">
        <f>'Quadro Geral'!C12</f>
        <v>Manter e Desenvolver as Atividades da Comissão de Organização e Administração</v>
      </c>
      <c r="D11" s="165">
        <f>'Quadro Geral'!I12</f>
        <v>90283.29</v>
      </c>
      <c r="E11" s="204"/>
      <c r="F11" s="166"/>
      <c r="G11" s="166"/>
      <c r="H11" s="166"/>
      <c r="I11" s="166">
        <v>45141.644999999997</v>
      </c>
      <c r="J11" s="166">
        <v>45141.644999999997</v>
      </c>
      <c r="K11" s="166"/>
      <c r="L11" s="166"/>
      <c r="M11" s="166"/>
      <c r="N11" s="166"/>
      <c r="O11" s="167">
        <f t="shared" si="1"/>
        <v>90283.29</v>
      </c>
      <c r="P11" s="166"/>
      <c r="Q11" s="167">
        <f t="shared" si="2"/>
        <v>90283.29</v>
      </c>
      <c r="R11" s="170">
        <f t="shared" si="0"/>
        <v>5.2650430013102467E-3</v>
      </c>
      <c r="S11" s="205" t="b">
        <f t="shared" si="3"/>
        <v>1</v>
      </c>
      <c r="T11" s="78" t="str">
        <f>'Quadro Geral'!E12</f>
        <v>Aprimorar e inovar os processos e as ações</v>
      </c>
    </row>
    <row r="12" spans="1:26" ht="33" customHeight="1" x14ac:dyDescent="0.35">
      <c r="A12" s="98" t="str">
        <f>'Quadro Geral'!A13</f>
        <v>Comissão Especial de Política Urbana e Ambiental (CPUA)</v>
      </c>
      <c r="B12" s="268" t="str">
        <f>'Quadro Geral'!B13</f>
        <v>A</v>
      </c>
      <c r="C12" s="99" t="str">
        <f>'Quadro Geral'!C13</f>
        <v>Manter e Desenvolver as Atividades da CPUA</v>
      </c>
      <c r="D12" s="165">
        <f>'Quadro Geral'!I13</f>
        <v>30094.43</v>
      </c>
      <c r="E12" s="204"/>
      <c r="F12" s="166"/>
      <c r="G12" s="166"/>
      <c r="H12" s="166"/>
      <c r="I12" s="166">
        <v>15047.215</v>
      </c>
      <c r="J12" s="166">
        <v>15047.215</v>
      </c>
      <c r="K12" s="166"/>
      <c r="L12" s="166"/>
      <c r="M12" s="166"/>
      <c r="N12" s="166"/>
      <c r="O12" s="167">
        <f t="shared" si="1"/>
        <v>30094.43</v>
      </c>
      <c r="P12" s="166"/>
      <c r="Q12" s="167">
        <f t="shared" si="2"/>
        <v>30094.43</v>
      </c>
      <c r="R12" s="170">
        <f t="shared" si="0"/>
        <v>1.7550143337700824E-3</v>
      </c>
      <c r="S12" s="205" t="b">
        <f t="shared" si="3"/>
        <v>1</v>
      </c>
      <c r="T12" s="78" t="str">
        <f>'Quadro Geral'!E13</f>
        <v>Garantir a participação dos Arquitetos e Urbanistas no planejamento territorial e na gestão urbana</v>
      </c>
    </row>
    <row r="13" spans="1:26" ht="33" customHeight="1" x14ac:dyDescent="0.35">
      <c r="A13" s="98" t="str">
        <f>'Quadro Geral'!A14</f>
        <v>Comissão Especial de Assistência Técnica para Habitação de Interesse Social (Cathis)</v>
      </c>
      <c r="B13" s="268" t="str">
        <f>'Quadro Geral'!B14</f>
        <v>A</v>
      </c>
      <c r="C13" s="99" t="str">
        <f>'Quadro Geral'!C14</f>
        <v>Manter e Desenvolver as Atividades da CATHIS</v>
      </c>
      <c r="D13" s="165">
        <f>'Quadro Geral'!I14</f>
        <v>30094.43</v>
      </c>
      <c r="E13" s="204"/>
      <c r="F13" s="166"/>
      <c r="G13" s="166"/>
      <c r="H13" s="166"/>
      <c r="I13" s="166">
        <v>15047.215</v>
      </c>
      <c r="J13" s="166">
        <v>15047.215</v>
      </c>
      <c r="K13" s="166"/>
      <c r="L13" s="166"/>
      <c r="M13" s="166"/>
      <c r="N13" s="166"/>
      <c r="O13" s="167">
        <f t="shared" si="1"/>
        <v>30094.43</v>
      </c>
      <c r="P13" s="166"/>
      <c r="Q13" s="167">
        <f t="shared" si="2"/>
        <v>30094.43</v>
      </c>
      <c r="R13" s="170">
        <f t="shared" si="0"/>
        <v>1.7550143337700824E-3</v>
      </c>
      <c r="S13" s="205" t="b">
        <f t="shared" si="3"/>
        <v>1</v>
      </c>
      <c r="T13" s="78" t="str">
        <f>'Quadro Geral'!E14</f>
        <v>Fomentar o acesso da sociedade à Arquitetura e Urbanismo</v>
      </c>
    </row>
    <row r="14" spans="1:26" ht="33" customHeight="1" x14ac:dyDescent="0.35">
      <c r="A14" s="98" t="str">
        <f>'Quadro Geral'!A15</f>
        <v>Comissão Especial de Patrimônio Cultural (CPC)</v>
      </c>
      <c r="B14" s="268" t="str">
        <f>'Quadro Geral'!B15</f>
        <v>A</v>
      </c>
      <c r="C14" s="99" t="str">
        <f>'Quadro Geral'!C15</f>
        <v>Manter e Desenvolver as Atividades da CPC</v>
      </c>
      <c r="D14" s="165">
        <f>'Quadro Geral'!I15</f>
        <v>30094.43</v>
      </c>
      <c r="E14" s="204"/>
      <c r="F14" s="166"/>
      <c r="G14" s="166"/>
      <c r="H14" s="166"/>
      <c r="I14" s="166">
        <v>15047.215</v>
      </c>
      <c r="J14" s="166">
        <v>15047.215</v>
      </c>
      <c r="K14" s="166"/>
      <c r="L14" s="166"/>
      <c r="M14" s="166"/>
      <c r="N14" s="166"/>
      <c r="O14" s="167">
        <f t="shared" si="1"/>
        <v>30094.43</v>
      </c>
      <c r="P14" s="166"/>
      <c r="Q14" s="167">
        <f t="shared" si="2"/>
        <v>30094.43</v>
      </c>
      <c r="R14" s="170">
        <f t="shared" si="0"/>
        <v>1.7550143337700824E-3</v>
      </c>
      <c r="S14" s="205" t="b">
        <f t="shared" si="3"/>
        <v>1</v>
      </c>
      <c r="T14" s="78" t="str">
        <f>'Quadro Geral'!E15</f>
        <v>Estimular a produção da Arquitetura e Urbanismo como política de Estado</v>
      </c>
    </row>
    <row r="15" spans="1:26" ht="33" customHeight="1" x14ac:dyDescent="0.35">
      <c r="A15" s="98" t="str">
        <f>'Quadro Geral'!A16</f>
        <v>Presidência</v>
      </c>
      <c r="B15" s="268" t="str">
        <f>'Quadro Geral'!B16</f>
        <v>A</v>
      </c>
      <c r="C15" s="99" t="str">
        <f>'Quadro Geral'!C16</f>
        <v>Manter e Desenvolver as Atividades da Presidência e dos Conselheiros Federais</v>
      </c>
      <c r="D15" s="165">
        <f>'Quadro Geral'!I16</f>
        <v>120000</v>
      </c>
      <c r="E15" s="204"/>
      <c r="F15" s="166"/>
      <c r="G15" s="166"/>
      <c r="H15" s="166"/>
      <c r="I15" s="166">
        <v>45000</v>
      </c>
      <c r="J15" s="166">
        <v>45000</v>
      </c>
      <c r="K15" s="166">
        <v>30000</v>
      </c>
      <c r="L15" s="166"/>
      <c r="M15" s="166"/>
      <c r="N15" s="166"/>
      <c r="O15" s="167">
        <f t="shared" si="1"/>
        <v>120000</v>
      </c>
      <c r="P15" s="166"/>
      <c r="Q15" s="167">
        <f t="shared" si="2"/>
        <v>120000</v>
      </c>
      <c r="R15" s="170">
        <f t="shared" si="0"/>
        <v>6.9980298697270519E-3</v>
      </c>
      <c r="S15" s="205" t="b">
        <f t="shared" si="3"/>
        <v>1</v>
      </c>
      <c r="T15" s="78" t="str">
        <f>'Quadro Geral'!E16</f>
        <v>Construir cultura organizacional adequada à estratégia</v>
      </c>
    </row>
    <row r="16" spans="1:26" ht="33" customHeight="1" x14ac:dyDescent="0.35">
      <c r="A16" s="98" t="str">
        <f>'Quadro Geral'!A18</f>
        <v>Presidência</v>
      </c>
      <c r="B16" s="268" t="str">
        <f>'Quadro Geral'!B18</f>
        <v>PE</v>
      </c>
      <c r="C16" s="99" t="str">
        <f>'Quadro Geral'!C18</f>
        <v>Edital de Patrocínio modalidade Patrimônio Cultural</v>
      </c>
      <c r="D16" s="165">
        <f>'Quadro Geral'!I18</f>
        <v>250000</v>
      </c>
      <c r="E16" s="204"/>
      <c r="F16" s="166"/>
      <c r="G16" s="166"/>
      <c r="H16" s="166"/>
      <c r="I16" s="166"/>
      <c r="J16" s="166"/>
      <c r="K16" s="166"/>
      <c r="L16" s="166">
        <v>250000</v>
      </c>
      <c r="M16" s="166"/>
      <c r="N16" s="166"/>
      <c r="O16" s="167">
        <f t="shared" si="1"/>
        <v>250000</v>
      </c>
      <c r="P16" s="166"/>
      <c r="Q16" s="167">
        <f t="shared" si="2"/>
        <v>250000</v>
      </c>
      <c r="R16" s="170">
        <f t="shared" si="0"/>
        <v>1.457922889526469E-2</v>
      </c>
      <c r="S16" s="205" t="b">
        <f t="shared" si="3"/>
        <v>1</v>
      </c>
      <c r="T16" s="78" t="str">
        <f>'Quadro Geral'!E18</f>
        <v>Estimular a produção da Arquitetura e Urbanismo como política de Estado</v>
      </c>
    </row>
    <row r="17" spans="1:20" ht="33" customHeight="1" x14ac:dyDescent="0.35">
      <c r="A17" s="98" t="str">
        <f>'Quadro Geral'!A19</f>
        <v>Presidência</v>
      </c>
      <c r="B17" s="268" t="str">
        <f>'Quadro Geral'!B19</f>
        <v>PE</v>
      </c>
      <c r="C17" s="99" t="str">
        <f>'Quadro Geral'!C19</f>
        <v>Edital de Patrocínio na modalidade Política Urbana</v>
      </c>
      <c r="D17" s="165">
        <f>'Quadro Geral'!I19</f>
        <v>100000</v>
      </c>
      <c r="E17" s="204"/>
      <c r="F17" s="166"/>
      <c r="G17" s="166"/>
      <c r="H17" s="166"/>
      <c r="I17" s="166"/>
      <c r="J17" s="166"/>
      <c r="K17" s="166"/>
      <c r="L17" s="166">
        <v>100000</v>
      </c>
      <c r="M17" s="166"/>
      <c r="N17" s="166"/>
      <c r="O17" s="167">
        <f t="shared" si="1"/>
        <v>100000</v>
      </c>
      <c r="P17" s="166"/>
      <c r="Q17" s="167">
        <f t="shared" si="2"/>
        <v>100000</v>
      </c>
      <c r="R17" s="170">
        <f t="shared" si="0"/>
        <v>5.8316915581058766E-3</v>
      </c>
      <c r="S17" s="205" t="b">
        <f t="shared" si="3"/>
        <v>1</v>
      </c>
      <c r="T17" s="78" t="str">
        <f>'Quadro Geral'!E19</f>
        <v>Estimular o conhecimento, o uso de processos criativos e a difusão das melhores práticas em Arquitetura e Urbanismo</v>
      </c>
    </row>
    <row r="18" spans="1:20" ht="33" customHeight="1" x14ac:dyDescent="0.35">
      <c r="A18" s="98" t="str">
        <f>'Quadro Geral'!A21</f>
        <v>Presidência</v>
      </c>
      <c r="B18" s="268" t="str">
        <f>'Quadro Geral'!B21</f>
        <v>P</v>
      </c>
      <c r="C18" s="99" t="str">
        <f>'Quadro Geral'!C21</f>
        <v>Assistência Técnica para Habitação de Interesse Social (ATHIS)</v>
      </c>
      <c r="D18" s="165">
        <f>'Quadro Geral'!I21</f>
        <v>500000</v>
      </c>
      <c r="E18" s="204"/>
      <c r="F18" s="166"/>
      <c r="G18" s="166"/>
      <c r="H18" s="166"/>
      <c r="I18" s="166"/>
      <c r="J18" s="166"/>
      <c r="K18" s="166"/>
      <c r="L18" s="166">
        <v>500000</v>
      </c>
      <c r="M18" s="166"/>
      <c r="N18" s="166"/>
      <c r="O18" s="167">
        <f t="shared" si="1"/>
        <v>500000</v>
      </c>
      <c r="P18" s="166"/>
      <c r="Q18" s="167">
        <f t="shared" si="2"/>
        <v>500000</v>
      </c>
      <c r="R18" s="170">
        <f t="shared" si="0"/>
        <v>2.915845779052938E-2</v>
      </c>
      <c r="S18" s="205" t="b">
        <f t="shared" si="3"/>
        <v>1</v>
      </c>
      <c r="T18" s="78" t="str">
        <f>'Quadro Geral'!E21</f>
        <v>Fomentar o acesso da sociedade à Arquitetura e Urbanismo</v>
      </c>
    </row>
    <row r="19" spans="1:20" ht="33" customHeight="1" x14ac:dyDescent="0.35">
      <c r="A19" s="98" t="str">
        <f>'Quadro Geral'!A22</f>
        <v>Presidência</v>
      </c>
      <c r="B19" s="268" t="str">
        <f>'Quadro Geral'!B22</f>
        <v>P</v>
      </c>
      <c r="C19" s="99" t="str">
        <f>'Quadro Geral'!C22</f>
        <v>Representação Institucional do CAU/MG</v>
      </c>
      <c r="D19" s="165">
        <f>'Quadro Geral'!I22</f>
        <v>30000</v>
      </c>
      <c r="E19" s="204"/>
      <c r="F19" s="166"/>
      <c r="G19" s="166"/>
      <c r="H19" s="166"/>
      <c r="I19" s="166">
        <v>15000</v>
      </c>
      <c r="J19" s="166">
        <v>15000</v>
      </c>
      <c r="K19" s="166"/>
      <c r="L19" s="166"/>
      <c r="M19" s="166"/>
      <c r="N19" s="166"/>
      <c r="O19" s="167">
        <f t="shared" si="1"/>
        <v>30000</v>
      </c>
      <c r="P19" s="166"/>
      <c r="Q19" s="167">
        <f t="shared" si="2"/>
        <v>30000</v>
      </c>
      <c r="R19" s="170">
        <f t="shared" si="0"/>
        <v>1.749507467431763E-3</v>
      </c>
      <c r="S19" s="205" t="b">
        <f t="shared" si="3"/>
        <v>1</v>
      </c>
      <c r="T19" s="78" t="str">
        <f>'Quadro Geral'!E22</f>
        <v>Estimular a produção da Arquitetura e Urbanismo como política de Estado</v>
      </c>
    </row>
    <row r="20" spans="1:20" ht="33" customHeight="1" x14ac:dyDescent="0.35">
      <c r="A20" s="98" t="str">
        <f>'Quadro Geral'!A24</f>
        <v>Presidência</v>
      </c>
      <c r="B20" s="268" t="str">
        <f>'Quadro Geral'!B24</f>
        <v>A</v>
      </c>
      <c r="C20" s="99" t="str">
        <f>'Quadro Geral'!C24</f>
        <v>Capacitações</v>
      </c>
      <c r="D20" s="165">
        <f>'Quadro Geral'!I24</f>
        <v>159416.20000000001</v>
      </c>
      <c r="E20" s="204"/>
      <c r="F20" s="166"/>
      <c r="G20" s="166"/>
      <c r="H20" s="166"/>
      <c r="I20" s="166">
        <v>44708.100000000006</v>
      </c>
      <c r="J20" s="166">
        <v>44708.100000000006</v>
      </c>
      <c r="K20" s="166">
        <v>70000</v>
      </c>
      <c r="L20" s="166"/>
      <c r="M20" s="166"/>
      <c r="N20" s="166"/>
      <c r="O20" s="167">
        <f t="shared" si="1"/>
        <v>159416.20000000001</v>
      </c>
      <c r="P20" s="166"/>
      <c r="Q20" s="167">
        <f t="shared" si="2"/>
        <v>159416.20000000001</v>
      </c>
      <c r="R20" s="170">
        <f t="shared" si="0"/>
        <v>9.2966610776531802E-3</v>
      </c>
      <c r="S20" s="205" t="b">
        <f t="shared" si="3"/>
        <v>1</v>
      </c>
      <c r="T20" s="78" t="str">
        <f>'Quadro Geral'!E24</f>
        <v>Desenvolver competências de dirigentes e colaboradores</v>
      </c>
    </row>
    <row r="21" spans="1:20" ht="33" customHeight="1" x14ac:dyDescent="0.35">
      <c r="A21" s="98" t="str">
        <f>'Quadro Geral'!A25</f>
        <v>Presidência</v>
      </c>
      <c r="B21" s="268" t="str">
        <f>'Quadro Geral'!B25</f>
        <v>A</v>
      </c>
      <c r="C21" s="99" t="str">
        <f>'Quadro Geral'!C25</f>
        <v>Manter e Desenvolver as Atividades da Ouvidoria</v>
      </c>
      <c r="D21" s="165">
        <f>'Quadro Geral'!I25</f>
        <v>316239.49</v>
      </c>
      <c r="E21" s="204"/>
      <c r="F21" s="166">
        <v>279239.49</v>
      </c>
      <c r="G21" s="166">
        <v>17500</v>
      </c>
      <c r="H21" s="166"/>
      <c r="I21" s="166"/>
      <c r="J21" s="166">
        <v>17500</v>
      </c>
      <c r="K21" s="166">
        <v>2000</v>
      </c>
      <c r="L21" s="166"/>
      <c r="M21" s="166"/>
      <c r="N21" s="166"/>
      <c r="O21" s="167">
        <f t="shared" si="1"/>
        <v>316239.49</v>
      </c>
      <c r="P21" s="166"/>
      <c r="Q21" s="167">
        <f t="shared" si="2"/>
        <v>316239.49</v>
      </c>
      <c r="R21" s="170">
        <f t="shared" si="0"/>
        <v>1.8442111641727075E-2</v>
      </c>
      <c r="S21" s="205" t="b">
        <f t="shared" si="3"/>
        <v>1</v>
      </c>
      <c r="T21" s="78" t="str">
        <f>'Quadro Geral'!E25</f>
        <v>Assegurar a eficácia no atendimento e no relacionamento com os Arquitetos e Urbanistas e a Sociedade</v>
      </c>
    </row>
    <row r="22" spans="1:20" ht="33" customHeight="1" x14ac:dyDescent="0.35">
      <c r="A22" s="98" t="str">
        <f>'Quadro Geral'!A26</f>
        <v>Assessoria de Comunicação (Ascom)</v>
      </c>
      <c r="B22" s="268" t="str">
        <f>'Quadro Geral'!B26</f>
        <v>A</v>
      </c>
      <c r="C22" s="99" t="str">
        <f>'Quadro Geral'!C26</f>
        <v>Manter e Desenvolver as Atividades da Assessoria de Comunicação</v>
      </c>
      <c r="D22" s="165">
        <f>'Quadro Geral'!I26</f>
        <v>754807.32000000007</v>
      </c>
      <c r="E22" s="204"/>
      <c r="F22" s="166">
        <v>166807.32</v>
      </c>
      <c r="G22" s="166">
        <v>5000</v>
      </c>
      <c r="H22" s="166"/>
      <c r="I22" s="166"/>
      <c r="J22" s="166"/>
      <c r="K22" s="166">
        <v>583000</v>
      </c>
      <c r="L22" s="166"/>
      <c r="M22" s="166"/>
      <c r="N22" s="166"/>
      <c r="O22" s="167">
        <f t="shared" si="1"/>
        <v>754807.32000000007</v>
      </c>
      <c r="P22" s="166"/>
      <c r="Q22" s="167">
        <f t="shared" si="2"/>
        <v>754807.32000000007</v>
      </c>
      <c r="R22" s="170">
        <f t="shared" si="0"/>
        <v>4.4018034760405209E-2</v>
      </c>
      <c r="S22" s="205" t="b">
        <f t="shared" si="3"/>
        <v>1</v>
      </c>
      <c r="T22" s="78" t="str">
        <f>'Quadro Geral'!E26</f>
        <v>Assegurar a eficácia no relacionamento e comunicação com a sociedade</v>
      </c>
    </row>
    <row r="23" spans="1:20" ht="33" customHeight="1" x14ac:dyDescent="0.35">
      <c r="A23" s="98" t="str">
        <f>'Quadro Geral'!A27</f>
        <v>Gerência Geral (Gergel)</v>
      </c>
      <c r="B23" s="268" t="str">
        <f>'Quadro Geral'!B27</f>
        <v>A</v>
      </c>
      <c r="C23" s="99" t="str">
        <f>'Quadro Geral'!C27</f>
        <v xml:space="preserve">Manter e Desenvolver as Atividades da Assessoria de Eventos </v>
      </c>
      <c r="D23" s="165">
        <f>'Quadro Geral'!I27</f>
        <v>449772.36</v>
      </c>
      <c r="E23" s="204"/>
      <c r="F23" s="166">
        <v>167730.35999999999</v>
      </c>
      <c r="G23" s="166">
        <v>10000</v>
      </c>
      <c r="H23" s="166">
        <v>82042</v>
      </c>
      <c r="I23" s="166">
        <v>40000</v>
      </c>
      <c r="J23" s="166">
        <v>50000</v>
      </c>
      <c r="K23" s="166">
        <v>100000</v>
      </c>
      <c r="L23" s="166"/>
      <c r="M23" s="166"/>
      <c r="N23" s="166"/>
      <c r="O23" s="167">
        <f t="shared" si="1"/>
        <v>449772.36</v>
      </c>
      <c r="P23" s="166"/>
      <c r="Q23" s="167">
        <f t="shared" si="2"/>
        <v>449772.36</v>
      </c>
      <c r="R23" s="170">
        <f t="shared" si="0"/>
        <v>2.6229336748813569E-2</v>
      </c>
      <c r="S23" s="205" t="b">
        <f t="shared" si="3"/>
        <v>1</v>
      </c>
      <c r="T23" s="78" t="str">
        <f>'Quadro Geral'!E27</f>
        <v>Assegurar a eficácia no relacionamento e comunicação com a sociedade</v>
      </c>
    </row>
    <row r="24" spans="1:20" ht="33" customHeight="1" x14ac:dyDescent="0.35">
      <c r="A24" s="98" t="str">
        <f>'Quadro Geral'!A28</f>
        <v>Gerência Geral (Gergel)</v>
      </c>
      <c r="B24" s="268" t="str">
        <f>'Quadro Geral'!B28</f>
        <v>A</v>
      </c>
      <c r="C24" s="99" t="str">
        <f>'Quadro Geral'!C28</f>
        <v>Manter e Desenvolver as Atividades da Gerência Geral</v>
      </c>
      <c r="D24" s="165">
        <f>'Quadro Geral'!I28</f>
        <v>580443.29</v>
      </c>
      <c r="E24" s="204"/>
      <c r="F24" s="166">
        <v>545443.29</v>
      </c>
      <c r="G24" s="166">
        <v>5000</v>
      </c>
      <c r="H24" s="166"/>
      <c r="I24" s="166"/>
      <c r="J24" s="166">
        <v>5000</v>
      </c>
      <c r="K24" s="166">
        <v>25000</v>
      </c>
      <c r="L24" s="166"/>
      <c r="M24" s="166"/>
      <c r="N24" s="166"/>
      <c r="O24" s="167">
        <f t="shared" si="1"/>
        <v>580443.29</v>
      </c>
      <c r="P24" s="166"/>
      <c r="Q24" s="167">
        <f t="shared" si="2"/>
        <v>580443.29</v>
      </c>
      <c r="R24" s="170">
        <f t="shared" si="0"/>
        <v>3.3849662342522013E-2</v>
      </c>
      <c r="S24" s="205" t="b">
        <f t="shared" si="3"/>
        <v>1</v>
      </c>
      <c r="T24" s="78" t="str">
        <f>'Quadro Geral'!E28</f>
        <v>Construir cultura organizacional adequada à estratégia</v>
      </c>
    </row>
    <row r="25" spans="1:20" ht="33" customHeight="1" x14ac:dyDescent="0.35">
      <c r="A25" s="98" t="str">
        <f>'Quadro Geral'!A29</f>
        <v>Gerência Geral (Gergel)</v>
      </c>
      <c r="B25" s="268" t="str">
        <f>'Quadro Geral'!B29</f>
        <v>PE</v>
      </c>
      <c r="C25" s="99" t="str">
        <f>'Quadro Geral'!C29</f>
        <v>Mudança e adequações da nova sede e escritórios descentralizados do CAU/MG</v>
      </c>
      <c r="D25" s="165">
        <f>'Quadro Geral'!I29</f>
        <v>400000</v>
      </c>
      <c r="E25" s="204"/>
      <c r="F25" s="166"/>
      <c r="G25" s="166"/>
      <c r="H25" s="166"/>
      <c r="I25" s="166"/>
      <c r="J25" s="166"/>
      <c r="K25" s="166">
        <v>200000</v>
      </c>
      <c r="L25" s="166"/>
      <c r="M25" s="166"/>
      <c r="N25" s="166"/>
      <c r="O25" s="167">
        <f t="shared" si="1"/>
        <v>200000</v>
      </c>
      <c r="P25" s="166">
        <v>200000</v>
      </c>
      <c r="Q25" s="167">
        <f t="shared" si="2"/>
        <v>400000</v>
      </c>
      <c r="R25" s="170">
        <f t="shared" si="0"/>
        <v>2.3326766232423506E-2</v>
      </c>
      <c r="S25" s="205" t="b">
        <f t="shared" si="3"/>
        <v>1</v>
      </c>
      <c r="T25" s="78" t="str">
        <f>'Quadro Geral'!E29</f>
        <v>Ter sistemas de informação e infraestrutura que viabilizem a gestão e o atendimento dos arquitetos e urbanistas e a sociedade</v>
      </c>
    </row>
    <row r="26" spans="1:20" ht="33" customHeight="1" x14ac:dyDescent="0.35">
      <c r="A26" s="98" t="str">
        <f>'Quadro Geral'!A30</f>
        <v>Secretaria Geral</v>
      </c>
      <c r="B26" s="268" t="str">
        <f>'Quadro Geral'!B30</f>
        <v>A</v>
      </c>
      <c r="C26" s="99" t="str">
        <f>'Quadro Geral'!C30</f>
        <v>Manter e Desenvolver as Atividades da Secretaria Geral</v>
      </c>
      <c r="D26" s="165">
        <f>'Quadro Geral'!I30</f>
        <v>652075.49</v>
      </c>
      <c r="E26" s="204"/>
      <c r="F26" s="166">
        <v>578475.49</v>
      </c>
      <c r="G26" s="166">
        <v>5000</v>
      </c>
      <c r="H26" s="166"/>
      <c r="I26" s="166"/>
      <c r="J26" s="166">
        <v>5000</v>
      </c>
      <c r="K26" s="166">
        <v>63600</v>
      </c>
      <c r="L26" s="166"/>
      <c r="M26" s="166"/>
      <c r="N26" s="166"/>
      <c r="O26" s="167">
        <f t="shared" si="1"/>
        <v>652075.49</v>
      </c>
      <c r="P26" s="166"/>
      <c r="Q26" s="167">
        <f t="shared" si="2"/>
        <v>652075.49</v>
      </c>
      <c r="R26" s="170">
        <f t="shared" si="0"/>
        <v>3.8027031302807525E-2</v>
      </c>
      <c r="S26" s="205" t="b">
        <f t="shared" si="3"/>
        <v>1</v>
      </c>
      <c r="T26" s="78" t="str">
        <f>'Quadro Geral'!E30</f>
        <v>Aprimorar e inovar os processos e as ações</v>
      </c>
    </row>
    <row r="27" spans="1:20" ht="33" customHeight="1" x14ac:dyDescent="0.35">
      <c r="A27" s="98" t="str">
        <f>'Quadro Geral'!A31</f>
        <v>Gerência Técnica  de Fiscalização (Gertef) - Coordenação Fiscalização</v>
      </c>
      <c r="B27" s="268" t="str">
        <f>'Quadro Geral'!B31</f>
        <v>A</v>
      </c>
      <c r="C27" s="99" t="str">
        <f>'Quadro Geral'!C31</f>
        <v>Manter e Desenvolver as Atividades de Coordenação da Fiscalização da GERTEF</v>
      </c>
      <c r="D27" s="165">
        <f>'Quadro Geral'!I31</f>
        <v>1901086.27</v>
      </c>
      <c r="E27" s="204"/>
      <c r="F27" s="166">
        <v>1866086.27</v>
      </c>
      <c r="G27" s="166">
        <v>5000</v>
      </c>
      <c r="H27" s="166">
        <v>5000</v>
      </c>
      <c r="I27" s="166"/>
      <c r="J27" s="166">
        <v>5000</v>
      </c>
      <c r="K27" s="166">
        <v>20000</v>
      </c>
      <c r="L27" s="166"/>
      <c r="M27" s="166"/>
      <c r="N27" s="166"/>
      <c r="O27" s="167">
        <f t="shared" si="1"/>
        <v>1901086.27</v>
      </c>
      <c r="P27" s="166"/>
      <c r="Q27" s="167">
        <f t="shared" si="2"/>
        <v>1901086.27</v>
      </c>
      <c r="R27" s="170">
        <f t="shared" si="0"/>
        <v>0.11086548751989989</v>
      </c>
      <c r="S27" s="205" t="b">
        <f t="shared" si="3"/>
        <v>1</v>
      </c>
      <c r="T27" s="78" t="str">
        <f>'Quadro Geral'!E31</f>
        <v>Tornar a fiscalização um vetor de melhoria do exercício da Arquitetura e Urbanismo</v>
      </c>
    </row>
    <row r="28" spans="1:20" ht="33" customHeight="1" x14ac:dyDescent="0.35">
      <c r="A28" s="98" t="str">
        <f>'Quadro Geral'!A32</f>
        <v>Gerência Técnica  de Fiscalização (Gertef) - Rotas</v>
      </c>
      <c r="B28" s="268" t="str">
        <f>'Quadro Geral'!B32</f>
        <v>P</v>
      </c>
      <c r="C28" s="99" t="str">
        <f>'Quadro Geral'!C32</f>
        <v>Fiscalização Itinerante / Rotas</v>
      </c>
      <c r="D28" s="165">
        <f>'Quadro Geral'!I32</f>
        <v>215000</v>
      </c>
      <c r="E28" s="204"/>
      <c r="F28" s="166"/>
      <c r="G28" s="166">
        <v>15000</v>
      </c>
      <c r="H28" s="166">
        <v>30000</v>
      </c>
      <c r="I28" s="166">
        <v>20000</v>
      </c>
      <c r="J28" s="166"/>
      <c r="K28" s="166">
        <v>150000</v>
      </c>
      <c r="L28" s="166"/>
      <c r="M28" s="166"/>
      <c r="N28" s="166"/>
      <c r="O28" s="167">
        <f t="shared" si="1"/>
        <v>215000</v>
      </c>
      <c r="P28" s="166"/>
      <c r="Q28" s="167">
        <f t="shared" si="2"/>
        <v>215000</v>
      </c>
      <c r="R28" s="170">
        <f t="shared" si="0"/>
        <v>1.2538136849927634E-2</v>
      </c>
      <c r="S28" s="205" t="b">
        <f t="shared" si="3"/>
        <v>1</v>
      </c>
      <c r="T28" s="78" t="str">
        <f>'Quadro Geral'!E32</f>
        <v>Tornar a fiscalização um vetor de melhoria do exercício da Arquitetura e Urbanismo</v>
      </c>
    </row>
    <row r="29" spans="1:20" ht="33" customHeight="1" x14ac:dyDescent="0.35">
      <c r="A29" s="98" t="str">
        <f>'Quadro Geral'!A33</f>
        <v>Gerência Técnica e Fiscalização (Gertef) -  Coordenação de Fiscalização</v>
      </c>
      <c r="B29" s="268" t="str">
        <f>'Quadro Geral'!B33</f>
        <v>A</v>
      </c>
      <c r="C29" s="99" t="str">
        <f>'Quadro Geral'!C33</f>
        <v>CSC FISCALIZAÇÃO</v>
      </c>
      <c r="D29" s="165">
        <f>'Quadro Geral'!I33</f>
        <v>1071282.72</v>
      </c>
      <c r="E29" s="204"/>
      <c r="F29" s="166"/>
      <c r="G29" s="166"/>
      <c r="H29" s="166"/>
      <c r="I29" s="166"/>
      <c r="J29" s="166"/>
      <c r="K29" s="166"/>
      <c r="L29" s="166">
        <v>1071282.72</v>
      </c>
      <c r="M29" s="166"/>
      <c r="N29" s="166"/>
      <c r="O29" s="167">
        <f t="shared" si="1"/>
        <v>1071282.72</v>
      </c>
      <c r="P29" s="166"/>
      <c r="Q29" s="167">
        <f t="shared" si="2"/>
        <v>1071282.72</v>
      </c>
      <c r="R29" s="170">
        <f t="shared" si="0"/>
        <v>6.2473903945687012E-2</v>
      </c>
      <c r="S29" s="205" t="b">
        <f t="shared" si="3"/>
        <v>1</v>
      </c>
      <c r="T29" s="78" t="str">
        <f>'Quadro Geral'!E33</f>
        <v>Tornar a fiscalização um vetor de melhoria do exercício da Arquitetura e Urbanismo</v>
      </c>
    </row>
    <row r="30" spans="1:20" ht="33" customHeight="1" x14ac:dyDescent="0.35">
      <c r="A30" s="98" t="str">
        <f>'Quadro Geral'!A34</f>
        <v>Gerência Técnica  de Fiscalização (Gertef) - Coordenação Técnica</v>
      </c>
      <c r="B30" s="268" t="str">
        <f>'Quadro Geral'!B34</f>
        <v>A</v>
      </c>
      <c r="C30" s="99" t="str">
        <f>'Quadro Geral'!C34</f>
        <v>Manter e Desenvolver as Atividades de Coordenação Técnica da GERTEF</v>
      </c>
      <c r="D30" s="165">
        <f>'Quadro Geral'!I34</f>
        <v>2590978.67</v>
      </c>
      <c r="E30" s="204"/>
      <c r="F30" s="166">
        <v>2560978.67</v>
      </c>
      <c r="G30" s="166"/>
      <c r="H30" s="166"/>
      <c r="I30" s="166">
        <v>5000</v>
      </c>
      <c r="J30" s="166">
        <v>5000</v>
      </c>
      <c r="K30" s="166">
        <v>20000</v>
      </c>
      <c r="L30" s="166"/>
      <c r="M30" s="166"/>
      <c r="N30" s="166"/>
      <c r="O30" s="167">
        <f t="shared" si="1"/>
        <v>2590978.67</v>
      </c>
      <c r="P30" s="166"/>
      <c r="Q30" s="167">
        <f t="shared" si="2"/>
        <v>2590978.67</v>
      </c>
      <c r="R30" s="170">
        <f t="shared" si="0"/>
        <v>0.15109788437071389</v>
      </c>
      <c r="S30" s="205" t="b">
        <f t="shared" si="3"/>
        <v>1</v>
      </c>
      <c r="T30" s="78" t="str">
        <f>'Quadro Geral'!E34</f>
        <v>Assegurar a eficácia no atendimento e no relacionamento com os Arquitetos e Urbanistas e a Sociedade</v>
      </c>
    </row>
    <row r="31" spans="1:20" ht="33" customHeight="1" x14ac:dyDescent="0.35">
      <c r="A31" s="98" t="str">
        <f>'Quadro Geral'!A35</f>
        <v>Gerência Técnica e Fiscalização (Gertef) -  Coordenação Técnica</v>
      </c>
      <c r="B31" s="268" t="str">
        <f>'Quadro Geral'!B35</f>
        <v>A</v>
      </c>
      <c r="C31" s="99" t="str">
        <f>'Quadro Geral'!C35</f>
        <v>CSC ATENDIMENTO</v>
      </c>
      <c r="D31" s="165">
        <f>'Quadro Geral'!I35</f>
        <v>139896.03</v>
      </c>
      <c r="E31" s="204"/>
      <c r="F31" s="166"/>
      <c r="G31" s="166"/>
      <c r="H31" s="166"/>
      <c r="I31" s="166"/>
      <c r="J31" s="166"/>
      <c r="K31" s="166"/>
      <c r="L31" s="166">
        <v>139896.03</v>
      </c>
      <c r="M31" s="166"/>
      <c r="N31" s="166"/>
      <c r="O31" s="167">
        <f t="shared" si="1"/>
        <v>139896.03</v>
      </c>
      <c r="P31" s="166"/>
      <c r="Q31" s="167">
        <f t="shared" si="2"/>
        <v>139896.03</v>
      </c>
      <c r="R31" s="170">
        <f t="shared" si="0"/>
        <v>8.1583049716352635E-3</v>
      </c>
      <c r="S31" s="205" t="b">
        <f t="shared" si="3"/>
        <v>1</v>
      </c>
      <c r="T31" s="78" t="str">
        <f>'Quadro Geral'!E35</f>
        <v>Assegurar a eficácia no atendimento e no relacionamento com os Arquitetos e Urbanistas e a Sociedade</v>
      </c>
    </row>
    <row r="32" spans="1:20" ht="33" customHeight="1" x14ac:dyDescent="0.35">
      <c r="A32" s="98" t="str">
        <f>'Quadro Geral'!A36</f>
        <v>Gerência Jurídica (Gerjur)</v>
      </c>
      <c r="B32" s="268" t="str">
        <f>'Quadro Geral'!B36</f>
        <v>A</v>
      </c>
      <c r="C32" s="99" t="str">
        <f>'Quadro Geral'!C36</f>
        <v>Manter e Desenvolver as Atividades da Gerência Jurídica</v>
      </c>
      <c r="D32" s="165">
        <f>'Quadro Geral'!I36</f>
        <v>998509.5</v>
      </c>
      <c r="E32" s="204"/>
      <c r="F32" s="166">
        <v>921509.5</v>
      </c>
      <c r="G32" s="166">
        <v>5000</v>
      </c>
      <c r="H32" s="166"/>
      <c r="I32" s="166"/>
      <c r="J32" s="166"/>
      <c r="K32" s="166">
        <v>32000</v>
      </c>
      <c r="L32" s="166"/>
      <c r="M32" s="166"/>
      <c r="N32" s="166">
        <v>40000</v>
      </c>
      <c r="O32" s="167">
        <f t="shared" si="1"/>
        <v>998509.5</v>
      </c>
      <c r="P32" s="166"/>
      <c r="Q32" s="167">
        <f t="shared" si="2"/>
        <v>998509.5</v>
      </c>
      <c r="R32" s="170">
        <f t="shared" si="0"/>
        <v>5.8229994218385192E-2</v>
      </c>
      <c r="S32" s="205" t="b">
        <f t="shared" si="3"/>
        <v>1</v>
      </c>
      <c r="T32" s="78" t="str">
        <f>'Quadro Geral'!E36</f>
        <v>Aprimorar e inovar os processos e as ações</v>
      </c>
    </row>
    <row r="33" spans="1:20" ht="33" customHeight="1" x14ac:dyDescent="0.35">
      <c r="A33" s="98" t="str">
        <f>'Quadro Geral'!A37</f>
        <v>Gerência Administrativa e Financeira (GAF)</v>
      </c>
      <c r="B33" s="268" t="str">
        <f>'Quadro Geral'!B37</f>
        <v>A</v>
      </c>
      <c r="C33" s="99" t="str">
        <f>'Quadro Geral'!C37</f>
        <v>Fundo de Apoio aos CAU/UF</v>
      </c>
      <c r="D33" s="165">
        <f>'Quadro Geral'!I37</f>
        <v>256850.45</v>
      </c>
      <c r="E33" s="204"/>
      <c r="F33" s="166"/>
      <c r="G33" s="166"/>
      <c r="H33" s="166"/>
      <c r="I33" s="166"/>
      <c r="J33" s="166"/>
      <c r="K33" s="166"/>
      <c r="L33" s="166">
        <v>256850.45</v>
      </c>
      <c r="M33" s="166"/>
      <c r="N33" s="166"/>
      <c r="O33" s="167">
        <f t="shared" si="1"/>
        <v>256850.45</v>
      </c>
      <c r="P33" s="166"/>
      <c r="Q33" s="167">
        <f t="shared" si="2"/>
        <v>256850.45</v>
      </c>
      <c r="R33" s="170">
        <f t="shared" si="0"/>
        <v>1.4978726009606955E-2</v>
      </c>
      <c r="S33" s="205" t="b">
        <f t="shared" si="3"/>
        <v>1</v>
      </c>
      <c r="T33" s="78" t="str">
        <f>'Quadro Geral'!E37</f>
        <v>Assegurar a sustentabilidade financeira</v>
      </c>
    </row>
    <row r="34" spans="1:20" ht="33" customHeight="1" x14ac:dyDescent="0.35">
      <c r="A34" s="98" t="str">
        <f>'Quadro Geral'!A38</f>
        <v>Gerência Administrativa e Financeira (GAF)</v>
      </c>
      <c r="B34" s="268" t="str">
        <f>'Quadro Geral'!B38</f>
        <v>A</v>
      </c>
      <c r="C34" s="99" t="str">
        <f>'Quadro Geral'!C38</f>
        <v>Reserva de Contingência</v>
      </c>
      <c r="D34" s="165">
        <f>'Quadro Geral'!I38</f>
        <v>60000</v>
      </c>
      <c r="E34" s="204"/>
      <c r="F34" s="166"/>
      <c r="G34" s="166"/>
      <c r="H34" s="166"/>
      <c r="I34" s="166"/>
      <c r="J34" s="166"/>
      <c r="K34" s="166"/>
      <c r="L34" s="166"/>
      <c r="M34" s="166">
        <v>60000</v>
      </c>
      <c r="N34" s="166"/>
      <c r="O34" s="167">
        <f t="shared" si="1"/>
        <v>60000</v>
      </c>
      <c r="P34" s="166"/>
      <c r="Q34" s="167">
        <f t="shared" si="2"/>
        <v>60000</v>
      </c>
      <c r="R34" s="170">
        <f t="shared" si="0"/>
        <v>3.4990149348635259E-3</v>
      </c>
      <c r="S34" s="205" t="b">
        <f t="shared" si="3"/>
        <v>1</v>
      </c>
      <c r="T34" s="78" t="str">
        <f>'Quadro Geral'!E38</f>
        <v>Assegurar a sustentabilidade financeira</v>
      </c>
    </row>
    <row r="35" spans="1:20" ht="33" customHeight="1" x14ac:dyDescent="0.35">
      <c r="A35" s="98" t="str">
        <f>'Quadro Geral'!A39</f>
        <v>Gerência Administrativa e Financeira (GAF)</v>
      </c>
      <c r="B35" s="268" t="str">
        <f>'Quadro Geral'!B39</f>
        <v>A</v>
      </c>
      <c r="C35" s="99" t="str">
        <f>'Quadro Geral'!C39</f>
        <v>Manter e Desenvolver as Atividades da Gerência Adm. Financeira</v>
      </c>
      <c r="D35" s="165">
        <f>'Quadro Geral'!I39</f>
        <v>2835848.21</v>
      </c>
      <c r="E35" s="294"/>
      <c r="F35" s="166">
        <v>1842405.96</v>
      </c>
      <c r="G35" s="166"/>
      <c r="H35" s="166">
        <v>40000</v>
      </c>
      <c r="I35" s="166"/>
      <c r="J35" s="166"/>
      <c r="K35" s="166">
        <f>853442.25-100000</f>
        <v>753442.25</v>
      </c>
      <c r="L35" s="166"/>
      <c r="M35" s="166"/>
      <c r="N35" s="166">
        <v>200000</v>
      </c>
      <c r="O35" s="167">
        <f t="shared" si="1"/>
        <v>2835848.21</v>
      </c>
      <c r="P35" s="166"/>
      <c r="Q35" s="167">
        <f t="shared" si="2"/>
        <v>2835848.21</v>
      </c>
      <c r="R35" s="167">
        <f t="shared" si="0"/>
        <v>0.16537792066326659</v>
      </c>
      <c r="S35" s="205" t="b">
        <f t="shared" si="3"/>
        <v>1</v>
      </c>
      <c r="T35" s="78" t="str">
        <f>'Quadro Geral'!E39</f>
        <v>Assegurar a sustentabilidade financeira</v>
      </c>
    </row>
    <row r="36" spans="1:20" ht="33" customHeight="1" x14ac:dyDescent="0.35">
      <c r="A36" s="98" t="str">
        <f>'Quadro Geral'!A40</f>
        <v>Gerência Especial de Planejamento e Gestão Estratégica (Geplan)</v>
      </c>
      <c r="B36" s="268" t="str">
        <f>'Quadro Geral'!B40</f>
        <v>A</v>
      </c>
      <c r="C36" s="99" t="str">
        <f>'Quadro Geral'!C40</f>
        <v>Manter e Desenvolver as Atividades da Ger. Esp. de Planejamento e Gestão Estratégica</v>
      </c>
      <c r="D36" s="165">
        <f>'Quadro Geral'!I40</f>
        <v>412614.24</v>
      </c>
      <c r="E36" s="204"/>
      <c r="F36" s="166">
        <v>382614.24</v>
      </c>
      <c r="G36" s="166"/>
      <c r="H36" s="166"/>
      <c r="I36" s="166"/>
      <c r="J36" s="166"/>
      <c r="K36" s="166">
        <v>30000</v>
      </c>
      <c r="L36" s="166"/>
      <c r="M36" s="166"/>
      <c r="N36" s="166"/>
      <c r="O36" s="167">
        <f t="shared" si="1"/>
        <v>412614.24</v>
      </c>
      <c r="P36" s="166"/>
      <c r="Q36" s="167">
        <f t="shared" si="2"/>
        <v>412614.24</v>
      </c>
      <c r="R36" s="170">
        <f t="shared" si="0"/>
        <v>2.406238980162272E-2</v>
      </c>
      <c r="S36" s="205" t="b">
        <f t="shared" si="3"/>
        <v>1</v>
      </c>
      <c r="T36" s="78" t="str">
        <f>'Quadro Geral'!E40</f>
        <v>Aprimorar e inovar os processos e as ações</v>
      </c>
    </row>
    <row r="37" spans="1:20" ht="33" customHeight="1" x14ac:dyDescent="0.35">
      <c r="A37" s="98" t="str">
        <f>'Quadro Geral'!A41</f>
        <v>Escritório Descentralizado Norte Minas</v>
      </c>
      <c r="B37" s="268" t="str">
        <f>'Quadro Geral'!B41</f>
        <v>A</v>
      </c>
      <c r="C37" s="99" t="str">
        <f>'Quadro Geral'!C41</f>
        <v>Manter e Desenvolver as Atividades do Escritório Descentralizado Norte de Minas</v>
      </c>
      <c r="D37" s="165">
        <f>'Quadro Geral'!I41</f>
        <v>166533.22999999998</v>
      </c>
      <c r="E37" s="204"/>
      <c r="F37" s="166">
        <v>82533.23</v>
      </c>
      <c r="G37" s="166"/>
      <c r="H37" s="166">
        <v>2000</v>
      </c>
      <c r="I37" s="166"/>
      <c r="J37" s="166"/>
      <c r="K37" s="166">
        <v>82000</v>
      </c>
      <c r="L37" s="166"/>
      <c r="M37" s="166"/>
      <c r="N37" s="166"/>
      <c r="O37" s="167">
        <f t="shared" si="1"/>
        <v>166533.22999999998</v>
      </c>
      <c r="P37" s="166"/>
      <c r="Q37" s="167">
        <f t="shared" si="2"/>
        <v>166533.22999999998</v>
      </c>
      <c r="R37" s="170">
        <f t="shared" si="0"/>
        <v>9.711704315351042E-3</v>
      </c>
      <c r="S37" s="205" t="b">
        <f t="shared" si="3"/>
        <v>1</v>
      </c>
      <c r="T37" s="78" t="str">
        <f>'Quadro Geral'!E41</f>
        <v>Assegurar a eficácia no atendimento e no relacionamento com os Arquitetos e Urbanistas e a Sociedade</v>
      </c>
    </row>
    <row r="38" spans="1:20" ht="33" customHeight="1" x14ac:dyDescent="0.35">
      <c r="A38" s="98" t="str">
        <f>'Quadro Geral'!A42</f>
        <v>Escritório Descentralizado Triângulo Mineiro e Alto Paranaíba</v>
      </c>
      <c r="B38" s="268" t="str">
        <f>'Quadro Geral'!B42</f>
        <v>A</v>
      </c>
      <c r="C38" s="99" t="str">
        <f>'Quadro Geral'!C42</f>
        <v>Manter e Desenvolver as Atividades do Esc. Descentralizado Triâng. Min. e Alto Paranaíba</v>
      </c>
      <c r="D38" s="165">
        <f>'Quadro Geral'!I42</f>
        <v>215363.76</v>
      </c>
      <c r="E38" s="204"/>
      <c r="F38" s="166">
        <v>89363.76</v>
      </c>
      <c r="G38" s="166"/>
      <c r="H38" s="166">
        <v>2000</v>
      </c>
      <c r="I38" s="166"/>
      <c r="J38" s="166"/>
      <c r="K38" s="166">
        <v>124000</v>
      </c>
      <c r="L38" s="166"/>
      <c r="M38" s="166"/>
      <c r="N38" s="166"/>
      <c r="O38" s="167">
        <f t="shared" si="1"/>
        <v>215363.76</v>
      </c>
      <c r="P38" s="166"/>
      <c r="Q38" s="167">
        <f t="shared" si="2"/>
        <v>215363.76</v>
      </c>
      <c r="R38" s="170">
        <f t="shared" si="0"/>
        <v>1.25593502111394E-2</v>
      </c>
      <c r="S38" s="205" t="b">
        <f t="shared" si="3"/>
        <v>1</v>
      </c>
      <c r="T38" s="78" t="str">
        <f>'Quadro Geral'!E42</f>
        <v>Assegurar a eficácia no atendimento e no relacionamento com os Arquitetos e Urbanistas e a Sociedade</v>
      </c>
    </row>
    <row r="39" spans="1:20" ht="33" customHeight="1" x14ac:dyDescent="0.35">
      <c r="A39" s="98" t="str">
        <f>'Quadro Geral'!A43</f>
        <v>Escritório Descentralizado Zona da Mata e Vertentes</v>
      </c>
      <c r="B39" s="268" t="str">
        <f>'Quadro Geral'!B43</f>
        <v>A</v>
      </c>
      <c r="C39" s="99" t="str">
        <f>'Quadro Geral'!C43</f>
        <v>Manter e Desenvolver as Atividades Escritório Descentralizado Zona da Mata e Vertentes</v>
      </c>
      <c r="D39" s="165">
        <f>'Quadro Geral'!I43</f>
        <v>121017.3</v>
      </c>
      <c r="E39" s="204"/>
      <c r="F39" s="166">
        <v>64017.3</v>
      </c>
      <c r="G39" s="166"/>
      <c r="H39" s="166">
        <v>2000</v>
      </c>
      <c r="I39" s="166"/>
      <c r="J39" s="166"/>
      <c r="K39" s="166">
        <v>55000</v>
      </c>
      <c r="L39" s="166"/>
      <c r="M39" s="166"/>
      <c r="N39" s="166"/>
      <c r="O39" s="167">
        <f t="shared" si="1"/>
        <v>121017.3</v>
      </c>
      <c r="P39" s="166"/>
      <c r="Q39" s="167">
        <f t="shared" si="2"/>
        <v>121017.3</v>
      </c>
      <c r="R39" s="170">
        <f t="shared" si="0"/>
        <v>7.0573556679476629E-3</v>
      </c>
      <c r="S39" s="205" t="b">
        <f t="shared" si="3"/>
        <v>1</v>
      </c>
      <c r="T39" s="78" t="str">
        <f>'Quadro Geral'!E43</f>
        <v>Assegurar a eficácia no atendimento e no relacionamento com os Arquitetos e Urbanistas e a Sociedade</v>
      </c>
    </row>
    <row r="40" spans="1:20" ht="33" customHeight="1" x14ac:dyDescent="0.35">
      <c r="A40" s="98" t="str">
        <f>'Quadro Geral'!A44</f>
        <v>Escritório Descentralizado Sul de Minas</v>
      </c>
      <c r="B40" s="268" t="str">
        <f>'Quadro Geral'!B44</f>
        <v>A</v>
      </c>
      <c r="C40" s="99" t="str">
        <f>'Quadro Geral'!C44</f>
        <v>Manter e Desenvolver as Atividades do Escritório Descentralizado Sul de Minas</v>
      </c>
      <c r="D40" s="165">
        <f>'Quadro Geral'!I44</f>
        <v>132902.60999999999</v>
      </c>
      <c r="E40" s="204"/>
      <c r="F40" s="166">
        <v>70902.61</v>
      </c>
      <c r="G40" s="166"/>
      <c r="H40" s="166">
        <v>2000</v>
      </c>
      <c r="I40" s="166"/>
      <c r="J40" s="166"/>
      <c r="K40" s="166">
        <v>60000</v>
      </c>
      <c r="L40" s="166"/>
      <c r="M40" s="166"/>
      <c r="N40" s="166"/>
      <c r="O40" s="167">
        <f t="shared" si="1"/>
        <v>132902.60999999999</v>
      </c>
      <c r="P40" s="166"/>
      <c r="Q40" s="167">
        <f t="shared" si="2"/>
        <v>132902.60999999999</v>
      </c>
      <c r="R40" s="170">
        <f t="shared" si="0"/>
        <v>7.750470287872375E-3</v>
      </c>
      <c r="S40" s="205" t="b">
        <f t="shared" si="3"/>
        <v>1</v>
      </c>
      <c r="T40" s="78" t="str">
        <f>'Quadro Geral'!E44</f>
        <v>Assegurar a eficácia no atendimento e no relacionamento com os Arquitetos e Urbanistas e a Sociedade</v>
      </c>
    </row>
    <row r="41" spans="1:20" ht="33" customHeight="1" x14ac:dyDescent="0.35">
      <c r="A41" s="98" t="str">
        <f>'Quadro Geral'!A45</f>
        <v>Escritório Descentralizado Leste de Minas</v>
      </c>
      <c r="B41" s="268" t="str">
        <f>'Quadro Geral'!B45</f>
        <v>A</v>
      </c>
      <c r="C41" s="99" t="str">
        <f>'Quadro Geral'!C45</f>
        <v>Manter e Desenvolver as Atividades do Escritório Descentralizado Leste de Minas</v>
      </c>
      <c r="D41" s="165">
        <f>'Quadro Geral'!I45</f>
        <v>171474.32</v>
      </c>
      <c r="E41" s="204"/>
      <c r="F41" s="166">
        <v>96474.32</v>
      </c>
      <c r="G41" s="166"/>
      <c r="H41" s="166">
        <v>2000</v>
      </c>
      <c r="I41" s="166"/>
      <c r="J41" s="166"/>
      <c r="K41" s="166">
        <v>73000</v>
      </c>
      <c r="L41" s="166"/>
      <c r="M41" s="166"/>
      <c r="N41" s="166"/>
      <c r="O41" s="167">
        <f t="shared" si="1"/>
        <v>171474.32</v>
      </c>
      <c r="P41" s="166"/>
      <c r="Q41" s="167">
        <f t="shared" si="2"/>
        <v>171474.32</v>
      </c>
      <c r="R41" s="170">
        <f t="shared" si="0"/>
        <v>9.9998534437594558E-3</v>
      </c>
      <c r="S41" s="205" t="b">
        <f t="shared" si="3"/>
        <v>1</v>
      </c>
      <c r="T41" s="78" t="str">
        <f>'Quadro Geral'!E45</f>
        <v>Assegurar a eficácia no atendimento e no relacionamento com os Arquitetos e Urbanistas e a Sociedade</v>
      </c>
    </row>
    <row r="42" spans="1:20" ht="33" customHeight="1" x14ac:dyDescent="0.35">
      <c r="A42" s="98" t="str">
        <f>'Quadro Geral'!A46</f>
        <v>Novo Escritório Descentralizado</v>
      </c>
      <c r="B42" s="268" t="str">
        <f>'Quadro Geral'!B46</f>
        <v>A</v>
      </c>
      <c r="C42" s="99" t="str">
        <f>'Quadro Geral'!C46</f>
        <v>Manter e Desenvolver as Atividades do Novo Escritório Descentralizado</v>
      </c>
      <c r="D42" s="165">
        <f>'Quadro Geral'!I46</f>
        <v>63022.240000000005</v>
      </c>
      <c r="E42" s="204"/>
      <c r="F42" s="166">
        <v>31022.240000000002</v>
      </c>
      <c r="G42" s="166"/>
      <c r="H42" s="166">
        <v>2000</v>
      </c>
      <c r="I42" s="166"/>
      <c r="J42" s="166"/>
      <c r="K42" s="166">
        <v>30000</v>
      </c>
      <c r="L42" s="166"/>
      <c r="M42" s="166"/>
      <c r="N42" s="166"/>
      <c r="O42" s="167">
        <f t="shared" si="1"/>
        <v>63022.240000000005</v>
      </c>
      <c r="P42" s="166"/>
      <c r="Q42" s="167">
        <f t="shared" si="2"/>
        <v>63022.240000000005</v>
      </c>
      <c r="R42" s="170">
        <f t="shared" si="0"/>
        <v>3.675262649809225E-3</v>
      </c>
      <c r="S42" s="205" t="b">
        <f t="shared" si="3"/>
        <v>1</v>
      </c>
      <c r="T42" s="78" t="str">
        <f>'Quadro Geral'!E46</f>
        <v>Assegurar a eficácia no atendimento e no relacionamento com os Arquitetos e Urbanistas e a Sociedade</v>
      </c>
    </row>
    <row r="43" spans="1:20" ht="33" customHeight="1" x14ac:dyDescent="0.35">
      <c r="A43" s="98" t="str">
        <f>'Quadro Geral'!A47</f>
        <v>Colegiado das Entidades Estaduais de Arquitetos e Urbanistas do CAU/MG (CEAU)</v>
      </c>
      <c r="B43" s="268" t="str">
        <f>'Quadro Geral'!B47</f>
        <v>A</v>
      </c>
      <c r="C43" s="99" t="str">
        <f>'Quadro Geral'!C47</f>
        <v>Manter e Desenvolver as Atividades do Colegiado das Entidades Estaduais CEAU</v>
      </c>
      <c r="D43" s="165">
        <f>'Quadro Geral'!I47</f>
        <v>30000</v>
      </c>
      <c r="E43" s="204"/>
      <c r="F43" s="166"/>
      <c r="G43" s="166"/>
      <c r="H43" s="166"/>
      <c r="I43" s="166">
        <v>15000</v>
      </c>
      <c r="J43" s="166"/>
      <c r="K43" s="166">
        <v>15000</v>
      </c>
      <c r="L43" s="166"/>
      <c r="M43" s="166"/>
      <c r="N43" s="166"/>
      <c r="O43" s="167">
        <f t="shared" si="1"/>
        <v>30000</v>
      </c>
      <c r="P43" s="166"/>
      <c r="Q43" s="167">
        <f t="shared" si="2"/>
        <v>30000</v>
      </c>
      <c r="R43" s="170">
        <f t="shared" si="0"/>
        <v>1.749507467431763E-3</v>
      </c>
      <c r="S43" s="205" t="b">
        <f t="shared" si="3"/>
        <v>1</v>
      </c>
      <c r="T43" s="78" t="str">
        <f>'Quadro Geral'!E47</f>
        <v>Valorizar a Arquitetura e Urbanismo</v>
      </c>
    </row>
    <row r="44" spans="1:20" ht="33" customHeight="1" x14ac:dyDescent="0.35">
      <c r="A44" s="98" t="str">
        <f>'Quadro Geral'!A48</f>
        <v>Colegiado das Entidades Estaduais de Arquitetos e Urbanistas do CAU/MG (CEAU)</v>
      </c>
      <c r="B44" s="268" t="str">
        <f>'Quadro Geral'!B48</f>
        <v>PE</v>
      </c>
      <c r="C44" s="99" t="str">
        <f>'Quadro Geral'!C48</f>
        <v>Edital de Patrocínio- Parceria Entidades de Arquitetos e Urbanistas</v>
      </c>
      <c r="D44" s="165">
        <f>'Quadro Geral'!I48</f>
        <v>100000</v>
      </c>
      <c r="E44" s="204"/>
      <c r="F44" s="166"/>
      <c r="G44" s="166"/>
      <c r="H44" s="166"/>
      <c r="I44" s="166"/>
      <c r="J44" s="166"/>
      <c r="K44" s="166"/>
      <c r="L44" s="166">
        <v>100000</v>
      </c>
      <c r="M44" s="166"/>
      <c r="N44" s="166"/>
      <c r="O44" s="167">
        <f t="shared" si="1"/>
        <v>100000</v>
      </c>
      <c r="P44" s="166"/>
      <c r="Q44" s="167">
        <f t="shared" si="2"/>
        <v>100000</v>
      </c>
      <c r="R44" s="170">
        <f t="shared" si="0"/>
        <v>5.8316915581058766E-3</v>
      </c>
      <c r="S44" s="205" t="b">
        <f t="shared" si="3"/>
        <v>1</v>
      </c>
      <c r="T44" s="78" t="str">
        <f>'Quadro Geral'!E48</f>
        <v>Estimular o conhecimento, o uso de processos criativos e a difusão das melhores práticas em Arquitetura e Urbanismo</v>
      </c>
    </row>
    <row r="45" spans="1:20" ht="33" customHeight="1" x14ac:dyDescent="0.35">
      <c r="A45" s="98" t="str">
        <f>'Quadro Geral'!A50</f>
        <v>GERGEL</v>
      </c>
      <c r="B45" s="268" t="str">
        <f>'Quadro Geral'!B50</f>
        <v>PE</v>
      </c>
      <c r="C45" s="99" t="str">
        <f>'Quadro Geral'!C50</f>
        <v>Concurso Público 2024</v>
      </c>
      <c r="D45" s="165">
        <f>'Quadro Geral'!I50</f>
        <v>200000</v>
      </c>
      <c r="E45" s="204"/>
      <c r="F45" s="166"/>
      <c r="G45" s="166"/>
      <c r="H45" s="166"/>
      <c r="I45" s="166"/>
      <c r="J45" s="166"/>
      <c r="K45" s="166">
        <v>200000</v>
      </c>
      <c r="L45" s="166"/>
      <c r="M45" s="166"/>
      <c r="N45" s="166"/>
      <c r="O45" s="167">
        <f t="shared" si="1"/>
        <v>200000</v>
      </c>
      <c r="P45" s="166"/>
      <c r="Q45" s="167">
        <f t="shared" si="2"/>
        <v>200000</v>
      </c>
      <c r="R45" s="170">
        <f t="shared" si="0"/>
        <v>1.1663383116211753E-2</v>
      </c>
      <c r="S45" s="205" t="b">
        <f t="shared" si="3"/>
        <v>1</v>
      </c>
      <c r="T45" s="78" t="str">
        <f>'Quadro Geral'!E50</f>
        <v>Construir cultura organizacional adequada à estratégia</v>
      </c>
    </row>
    <row r="46" spans="1:20" ht="33" customHeight="1" x14ac:dyDescent="0.35">
      <c r="A46" s="98" t="str">
        <f>'Quadro Geral'!A52</f>
        <v>Comissão Especial de Política Urbana e Ambiental (CPUA)</v>
      </c>
      <c r="B46" s="268" t="str">
        <f>'Quadro Geral'!B52</f>
        <v>PE</v>
      </c>
      <c r="C46" s="99" t="str">
        <f>'Quadro Geral'!C52</f>
        <v>Capacitação em Regularização Fundiária</v>
      </c>
      <c r="D46" s="165">
        <f>'Quadro Geral'!I52</f>
        <v>50000</v>
      </c>
      <c r="E46" s="204"/>
      <c r="F46" s="166"/>
      <c r="G46" s="166"/>
      <c r="H46" s="166"/>
      <c r="I46" s="166"/>
      <c r="J46" s="166"/>
      <c r="K46" s="166">
        <v>50000</v>
      </c>
      <c r="L46" s="166"/>
      <c r="M46" s="166"/>
      <c r="N46" s="166"/>
      <c r="O46" s="167">
        <f t="shared" si="1"/>
        <v>50000</v>
      </c>
      <c r="P46" s="166"/>
      <c r="Q46" s="167">
        <f t="shared" si="2"/>
        <v>50000</v>
      </c>
      <c r="R46" s="170">
        <f t="shared" si="0"/>
        <v>2.9158457790529383E-3</v>
      </c>
      <c r="S46" s="205" t="b">
        <f t="shared" si="3"/>
        <v>1</v>
      </c>
      <c r="T46" s="78" t="str">
        <f>'Quadro Geral'!E52</f>
        <v>Garantir a participação dos Arquitetos e Urbanistas no planejamento territorial e na gestão urbana</v>
      </c>
    </row>
    <row r="47" spans="1:20" ht="33" customHeight="1" x14ac:dyDescent="0.35">
      <c r="A47" s="98" t="str">
        <f>'Quadro Geral'!A53</f>
        <v>Secretaria Geral</v>
      </c>
      <c r="B47" s="268" t="str">
        <f>'Quadro Geral'!B53</f>
        <v>PE</v>
      </c>
      <c r="C47" s="99" t="str">
        <f>'Quadro Geral'!C53</f>
        <v>Gestão Documental do CAU/MG</v>
      </c>
      <c r="D47" s="165">
        <f>'Quadro Geral'!I53</f>
        <v>150000</v>
      </c>
      <c r="E47" s="204"/>
      <c r="F47" s="166"/>
      <c r="G47" s="166"/>
      <c r="H47" s="166"/>
      <c r="I47" s="166"/>
      <c r="J47" s="166"/>
      <c r="K47" s="166">
        <v>150000</v>
      </c>
      <c r="L47" s="166"/>
      <c r="M47" s="166"/>
      <c r="N47" s="166"/>
      <c r="O47" s="167">
        <f t="shared" si="1"/>
        <v>150000</v>
      </c>
      <c r="P47" s="166"/>
      <c r="Q47" s="167">
        <f>O47+P47</f>
        <v>150000</v>
      </c>
      <c r="R47" s="170">
        <f t="shared" si="0"/>
        <v>8.7475373371588144E-3</v>
      </c>
      <c r="S47" s="205" t="b">
        <f t="shared" si="3"/>
        <v>1</v>
      </c>
      <c r="T47" s="78" t="str">
        <f>'Quadro Geral'!E53</f>
        <v>Aprimorar e inovar os processos e as ações</v>
      </c>
    </row>
    <row r="48" spans="1:20" ht="33" customHeight="1" x14ac:dyDescent="0.35">
      <c r="A48" s="98" t="str">
        <f>'Quadro Geral'!A54</f>
        <v>Gerência Geral (Gergel)</v>
      </c>
      <c r="B48" s="268" t="str">
        <f>'Quadro Geral'!B54</f>
        <v>PE</v>
      </c>
      <c r="C48" s="99" t="str">
        <f>'Quadro Geral'!C54</f>
        <v>Eventos Institucionais</v>
      </c>
      <c r="D48" s="165">
        <f>'Quadro Geral'!I54</f>
        <v>130000</v>
      </c>
      <c r="E48" s="204"/>
      <c r="F48" s="166"/>
      <c r="G48" s="166"/>
      <c r="H48" s="166"/>
      <c r="I48" s="166"/>
      <c r="J48" s="166"/>
      <c r="K48" s="166">
        <v>130000</v>
      </c>
      <c r="L48" s="166"/>
      <c r="M48" s="166"/>
      <c r="N48" s="166"/>
      <c r="O48" s="167">
        <f t="shared" si="1"/>
        <v>130000</v>
      </c>
      <c r="P48" s="166"/>
      <c r="Q48" s="167">
        <f>O48+P48</f>
        <v>130000</v>
      </c>
      <c r="R48" s="170">
        <f t="shared" si="0"/>
        <v>7.5811990255376391E-3</v>
      </c>
      <c r="S48" s="205" t="b">
        <f t="shared" si="3"/>
        <v>1</v>
      </c>
      <c r="T48" s="78"/>
    </row>
    <row r="49" spans="1:19" s="97" customFormat="1" x14ac:dyDescent="0.35">
      <c r="A49" s="373" t="s">
        <v>323</v>
      </c>
      <c r="B49" s="373"/>
      <c r="C49" s="373"/>
      <c r="D49" s="168">
        <f>SUM(D7:D48)</f>
        <v>17147683.309999995</v>
      </c>
      <c r="E49" s="204"/>
      <c r="F49" s="168">
        <f t="shared" ref="F49:R49" si="4">SUM(F7:F48)</f>
        <v>9745604.0500000007</v>
      </c>
      <c r="G49" s="168">
        <f t="shared" si="4"/>
        <v>67500</v>
      </c>
      <c r="H49" s="168">
        <f t="shared" si="4"/>
        <v>169042</v>
      </c>
      <c r="I49" s="168">
        <f t="shared" si="4"/>
        <v>590982.90500000014</v>
      </c>
      <c r="J49" s="168">
        <f t="shared" si="4"/>
        <v>598482.90500000014</v>
      </c>
      <c r="K49" s="168">
        <f t="shared" si="4"/>
        <v>3048042.25</v>
      </c>
      <c r="L49" s="168">
        <f t="shared" si="4"/>
        <v>2428029.2000000002</v>
      </c>
      <c r="M49" s="168">
        <f t="shared" si="4"/>
        <v>60000</v>
      </c>
      <c r="N49" s="168">
        <f t="shared" si="4"/>
        <v>240000</v>
      </c>
      <c r="O49" s="168">
        <f t="shared" si="4"/>
        <v>16947683.309999995</v>
      </c>
      <c r="P49" s="168">
        <f t="shared" si="4"/>
        <v>200000</v>
      </c>
      <c r="Q49" s="168">
        <f t="shared" si="4"/>
        <v>17147683.309999995</v>
      </c>
      <c r="R49" s="437">
        <f t="shared" si="4"/>
        <v>1</v>
      </c>
      <c r="S49" s="205" t="b">
        <f>D49=Q49</f>
        <v>1</v>
      </c>
    </row>
    <row r="50" spans="1:19" s="97" customFormat="1" x14ac:dyDescent="0.35">
      <c r="A50" s="373" t="s">
        <v>317</v>
      </c>
      <c r="B50" s="373"/>
      <c r="C50" s="373"/>
      <c r="D50" s="373"/>
      <c r="E50" s="203"/>
      <c r="F50" s="169">
        <f>IFERROR(F49/$Q49,0)</f>
        <v>0.5683335686702744</v>
      </c>
      <c r="G50" s="169">
        <f t="shared" ref="G50:P50" si="5">IFERROR(G49/$Q49,0)</f>
        <v>3.9363918017214661E-3</v>
      </c>
      <c r="H50" s="169">
        <f t="shared" si="5"/>
        <v>9.8580080436533359E-3</v>
      </c>
      <c r="I50" s="169">
        <f t="shared" si="5"/>
        <v>3.4464300180733876E-2</v>
      </c>
      <c r="J50" s="169">
        <f t="shared" si="5"/>
        <v>3.4901677047591818E-2</v>
      </c>
      <c r="K50" s="169">
        <f t="shared" si="5"/>
        <v>0.17775242258075041</v>
      </c>
      <c r="L50" s="169">
        <f t="shared" si="5"/>
        <v>0.14159517388474566</v>
      </c>
      <c r="M50" s="169">
        <f t="shared" si="5"/>
        <v>3.4990149348635259E-3</v>
      </c>
      <c r="N50" s="169">
        <f t="shared" si="5"/>
        <v>1.3996059739454104E-2</v>
      </c>
      <c r="O50" s="169">
        <f t="shared" si="5"/>
        <v>0.98833661688378827</v>
      </c>
      <c r="P50" s="169">
        <f t="shared" si="5"/>
        <v>1.1663383116211753E-2</v>
      </c>
      <c r="Q50" s="169">
        <f>O50+P50</f>
        <v>1</v>
      </c>
      <c r="R50" s="437"/>
      <c r="S50" s="81"/>
    </row>
    <row r="51" spans="1:19" s="96" customFormat="1" ht="25" hidden="1" x14ac:dyDescent="0.35">
      <c r="A51" s="206" t="str">
        <f>'Quadro Geral'!A56</f>
        <v>LEGENDA: P = PROJETO/ A = ATIVIDADE/ PE = PROJETO ESTRATÉGICO</v>
      </c>
      <c r="B51" s="269"/>
      <c r="C51" s="206"/>
      <c r="D51" s="78" t="b">
        <f>D49='Anexo 1. Fontes e Aplicações'!D25</f>
        <v>1</v>
      </c>
      <c r="E51" s="203"/>
      <c r="F51" s="78" t="b">
        <f>F49='Anexo 2. Limites Estratégicos'!E8</f>
        <v>1</v>
      </c>
      <c r="G51" s="95"/>
      <c r="I51" s="206"/>
      <c r="J51" s="206"/>
      <c r="K51" s="206"/>
      <c r="L51" s="206"/>
      <c r="M51" s="206"/>
      <c r="N51" s="206"/>
      <c r="O51" s="78" t="b">
        <f>Q49-P49=O49</f>
        <v>1</v>
      </c>
      <c r="P51" s="271" t="b">
        <f>('Anexo 1. Fontes e Aplicações'!D23-'Anexo 1. Fontes e Aplicações'!D29)='Anexo 3. Elemento de Despesas'!P49</f>
        <v>0</v>
      </c>
      <c r="Q51" s="207" t="b">
        <f>Q49='Quadro Geral'!I55</f>
        <v>1</v>
      </c>
      <c r="R51" s="206"/>
      <c r="S51" s="95"/>
    </row>
    <row r="52" spans="1:19" s="96" customFormat="1" ht="25" x14ac:dyDescent="0.35">
      <c r="A52" s="432" t="s">
        <v>324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95"/>
    </row>
    <row r="53" spans="1:19" s="96" customFormat="1" ht="25" x14ac:dyDescent="0.35">
      <c r="A53" s="433" t="s">
        <v>325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95"/>
    </row>
    <row r="55" spans="1:19" x14ac:dyDescent="0.35">
      <c r="Q55" s="252"/>
    </row>
  </sheetData>
  <autoFilter ref="A6:XFA53" xr:uid="{00000000-0001-0000-0800-000000000000}"/>
  <mergeCells count="22"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  <mergeCell ref="B5:B6"/>
    <mergeCell ref="S5:S6"/>
    <mergeCell ref="A52:R52"/>
    <mergeCell ref="A53:R53"/>
    <mergeCell ref="I5:K5"/>
    <mergeCell ref="L5:L6"/>
    <mergeCell ref="M5:M6"/>
    <mergeCell ref="A49:C49"/>
    <mergeCell ref="R49:R50"/>
    <mergeCell ref="A50:D50"/>
  </mergeCells>
  <conditionalFormatting sqref="D51">
    <cfRule type="cellIs" dxfId="2" priority="4" operator="equal">
      <formula>TRUE</formula>
    </cfRule>
  </conditionalFormatting>
  <conditionalFormatting sqref="O51:Q51">
    <cfRule type="cellIs" dxfId="1" priority="1" operator="equal">
      <formula>TRUE</formula>
    </cfRule>
  </conditionalFormatting>
  <conditionalFormatting sqref="S7:S49 F51">
    <cfRule type="cellIs" dxfId="0" priority="3" operator="equal">
      <formula>TRUE</formula>
    </cfRule>
  </conditionalFormatting>
  <pageMargins left="0.25" right="0.25" top="0.75" bottom="0.75" header="0.3" footer="0.3"/>
  <pageSetup scale="36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W34"/>
  <sheetViews>
    <sheetView zoomScaleNormal="100" workbookViewId="0">
      <selection activeCell="D1" sqref="D1:D13"/>
    </sheetView>
  </sheetViews>
  <sheetFormatPr defaultRowHeight="15.5" x14ac:dyDescent="0.35"/>
  <cols>
    <col min="1" max="1" width="48.7265625" style="3" bestFit="1" customWidth="1"/>
    <col min="2" max="2" width="42.54296875" style="3" bestFit="1" customWidth="1"/>
    <col min="3" max="3" width="46.26953125" style="3" bestFit="1" customWidth="1"/>
    <col min="4" max="4" width="127.81640625" style="3" customWidth="1"/>
    <col min="5" max="8" width="9.1796875" style="3"/>
    <col min="9" max="9" width="13.54296875" style="3" bestFit="1" customWidth="1"/>
    <col min="10" max="49" width="9.1796875" style="3"/>
  </cols>
  <sheetData>
    <row r="1" spans="1:7" x14ac:dyDescent="0.35">
      <c r="A1" s="3" t="s">
        <v>326</v>
      </c>
      <c r="B1" s="5" t="s">
        <v>318</v>
      </c>
      <c r="C1" s="5" t="s">
        <v>327</v>
      </c>
      <c r="D1" s="3" t="s">
        <v>99</v>
      </c>
      <c r="E1" s="3" t="s">
        <v>328</v>
      </c>
      <c r="G1" s="3" t="s">
        <v>31</v>
      </c>
    </row>
    <row r="2" spans="1:7" x14ac:dyDescent="0.35">
      <c r="A2" s="3" t="s">
        <v>329</v>
      </c>
      <c r="B2" s="5" t="s">
        <v>319</v>
      </c>
      <c r="C2" s="5" t="s">
        <v>330</v>
      </c>
      <c r="D2" s="3" t="s">
        <v>102</v>
      </c>
      <c r="E2" s="3" t="s">
        <v>331</v>
      </c>
      <c r="G2" s="3" t="s">
        <v>34</v>
      </c>
    </row>
    <row r="3" spans="1:7" x14ac:dyDescent="0.35">
      <c r="A3" s="3" t="s">
        <v>332</v>
      </c>
      <c r="B3" s="4" t="s">
        <v>310</v>
      </c>
      <c r="C3" s="5" t="s">
        <v>333</v>
      </c>
      <c r="D3" s="3" t="s">
        <v>109</v>
      </c>
      <c r="E3" s="3" t="s">
        <v>63</v>
      </c>
      <c r="G3" s="3" t="s">
        <v>37</v>
      </c>
    </row>
    <row r="4" spans="1:7" x14ac:dyDescent="0.35">
      <c r="A4" s="3" t="s">
        <v>334</v>
      </c>
      <c r="B4" s="6" t="s">
        <v>335</v>
      </c>
      <c r="C4" s="5" t="s">
        <v>336</v>
      </c>
      <c r="D4" s="3" t="s">
        <v>112</v>
      </c>
      <c r="E4" s="3" t="s">
        <v>337</v>
      </c>
      <c r="G4" s="3" t="s">
        <v>40</v>
      </c>
    </row>
    <row r="5" spans="1:7" x14ac:dyDescent="0.35">
      <c r="A5" s="3" t="s">
        <v>338</v>
      </c>
      <c r="B5" s="6" t="s">
        <v>339</v>
      </c>
      <c r="C5" s="5" t="s">
        <v>340</v>
      </c>
      <c r="D5" s="3" t="s">
        <v>111</v>
      </c>
      <c r="E5" s="3" t="s">
        <v>341</v>
      </c>
      <c r="G5" s="3" t="s">
        <v>42</v>
      </c>
    </row>
    <row r="6" spans="1:7" x14ac:dyDescent="0.35">
      <c r="A6" s="3" t="s">
        <v>342</v>
      </c>
      <c r="B6" s="6" t="s">
        <v>343</v>
      </c>
      <c r="C6" s="5" t="s">
        <v>344</v>
      </c>
      <c r="D6" s="3" t="s">
        <v>105</v>
      </c>
      <c r="E6" s="3" t="s">
        <v>345</v>
      </c>
      <c r="G6" s="3" t="s">
        <v>45</v>
      </c>
    </row>
    <row r="7" spans="1:7" x14ac:dyDescent="0.35">
      <c r="A7" s="3" t="s">
        <v>346</v>
      </c>
      <c r="B7" s="6" t="s">
        <v>347</v>
      </c>
      <c r="C7" s="5" t="s">
        <v>348</v>
      </c>
      <c r="D7" s="3" t="s">
        <v>97</v>
      </c>
      <c r="G7" s="3" t="s">
        <v>47</v>
      </c>
    </row>
    <row r="8" spans="1:7" x14ac:dyDescent="0.35">
      <c r="A8" s="3" t="s">
        <v>349</v>
      </c>
      <c r="B8" s="6" t="s">
        <v>312</v>
      </c>
      <c r="C8" s="5" t="s">
        <v>350</v>
      </c>
      <c r="D8" s="3" t="s">
        <v>108</v>
      </c>
      <c r="G8" s="3" t="s">
        <v>49</v>
      </c>
    </row>
    <row r="9" spans="1:7" x14ac:dyDescent="0.35">
      <c r="A9" s="3" t="s">
        <v>351</v>
      </c>
      <c r="B9" s="6" t="s">
        <v>352</v>
      </c>
      <c r="C9" s="5" t="s">
        <v>353</v>
      </c>
      <c r="D9" s="3" t="s">
        <v>104</v>
      </c>
      <c r="G9" s="3" t="s">
        <v>51</v>
      </c>
    </row>
    <row r="10" spans="1:7" x14ac:dyDescent="0.35">
      <c r="A10" s="3" t="s">
        <v>354</v>
      </c>
      <c r="B10" s="5" t="s">
        <v>314</v>
      </c>
      <c r="C10" s="5" t="s">
        <v>355</v>
      </c>
      <c r="D10" s="3" t="s">
        <v>96</v>
      </c>
      <c r="G10" s="3" t="s">
        <v>53</v>
      </c>
    </row>
    <row r="11" spans="1:7" x14ac:dyDescent="0.35">
      <c r="A11" s="3" t="s">
        <v>356</v>
      </c>
      <c r="B11" s="5" t="s">
        <v>316</v>
      </c>
      <c r="C11" s="5" t="s">
        <v>357</v>
      </c>
      <c r="D11" s="3" t="s">
        <v>103</v>
      </c>
      <c r="G11" s="3" t="s">
        <v>14</v>
      </c>
    </row>
    <row r="12" spans="1:7" x14ac:dyDescent="0.35">
      <c r="A12" s="3" t="s">
        <v>358</v>
      </c>
      <c r="C12" s="5" t="s">
        <v>359</v>
      </c>
      <c r="D12" s="3" t="s">
        <v>107</v>
      </c>
      <c r="G12" s="3" t="s">
        <v>56</v>
      </c>
    </row>
    <row r="13" spans="1:7" x14ac:dyDescent="0.35">
      <c r="A13" s="3" t="s">
        <v>360</v>
      </c>
      <c r="B13" s="4"/>
      <c r="C13" s="5" t="s">
        <v>361</v>
      </c>
      <c r="D13" s="3" t="s">
        <v>98</v>
      </c>
      <c r="G13" s="3" t="s">
        <v>58</v>
      </c>
    </row>
    <row r="14" spans="1:7" x14ac:dyDescent="0.35">
      <c r="A14" s="3" t="s">
        <v>362</v>
      </c>
      <c r="B14" s="4"/>
      <c r="C14" s="5" t="s">
        <v>363</v>
      </c>
      <c r="G14" s="3" t="s">
        <v>60</v>
      </c>
    </row>
    <row r="15" spans="1:7" x14ac:dyDescent="0.35">
      <c r="A15" s="3" t="s">
        <v>364</v>
      </c>
      <c r="B15" s="4"/>
      <c r="C15" s="5" t="s">
        <v>365</v>
      </c>
      <c r="G15" s="3" t="s">
        <v>61</v>
      </c>
    </row>
    <row r="16" spans="1:7" x14ac:dyDescent="0.35">
      <c r="A16" s="3" t="s">
        <v>366</v>
      </c>
      <c r="B16" s="4"/>
      <c r="C16" s="5" t="s">
        <v>367</v>
      </c>
      <c r="G16" s="3" t="s">
        <v>63</v>
      </c>
    </row>
    <row r="17" spans="1:7" x14ac:dyDescent="0.35">
      <c r="A17" s="3" t="s">
        <v>368</v>
      </c>
      <c r="B17" s="4"/>
      <c r="C17" s="5" t="s">
        <v>369</v>
      </c>
      <c r="G17" s="3" t="s">
        <v>65</v>
      </c>
    </row>
    <row r="18" spans="1:7" x14ac:dyDescent="0.35">
      <c r="B18" s="4"/>
      <c r="C18" s="5" t="s">
        <v>370</v>
      </c>
      <c r="D18" s="3" t="s">
        <v>99</v>
      </c>
      <c r="G18" s="3" t="s">
        <v>67</v>
      </c>
    </row>
    <row r="19" spans="1:7" x14ac:dyDescent="0.35">
      <c r="C19" s="5" t="s">
        <v>371</v>
      </c>
      <c r="D19" s="3" t="s">
        <v>102</v>
      </c>
      <c r="G19" s="3" t="s">
        <v>69</v>
      </c>
    </row>
    <row r="20" spans="1:7" x14ac:dyDescent="0.35">
      <c r="C20" s="5" t="s">
        <v>372</v>
      </c>
      <c r="D20" s="3" t="s">
        <v>106</v>
      </c>
      <c r="G20" s="3" t="s">
        <v>71</v>
      </c>
    </row>
    <row r="21" spans="1:7" x14ac:dyDescent="0.35">
      <c r="C21" s="5" t="s">
        <v>373</v>
      </c>
      <c r="D21" s="3" t="s">
        <v>109</v>
      </c>
      <c r="G21" s="3" t="s">
        <v>73</v>
      </c>
    </row>
    <row r="22" spans="1:7" x14ac:dyDescent="0.35">
      <c r="D22" s="3" t="s">
        <v>112</v>
      </c>
      <c r="G22" s="3" t="s">
        <v>75</v>
      </c>
    </row>
    <row r="23" spans="1:7" x14ac:dyDescent="0.35">
      <c r="D23" s="3" t="s">
        <v>111</v>
      </c>
      <c r="G23" s="3" t="s">
        <v>76</v>
      </c>
    </row>
    <row r="24" spans="1:7" x14ac:dyDescent="0.35">
      <c r="D24" s="3" t="s">
        <v>105</v>
      </c>
      <c r="G24" s="3" t="s">
        <v>78</v>
      </c>
    </row>
    <row r="25" spans="1:7" x14ac:dyDescent="0.35">
      <c r="D25" s="3" t="s">
        <v>97</v>
      </c>
      <c r="G25" s="3" t="s">
        <v>80</v>
      </c>
    </row>
    <row r="26" spans="1:7" x14ac:dyDescent="0.35">
      <c r="D26" s="3" t="s">
        <v>108</v>
      </c>
      <c r="G26" s="3" t="s">
        <v>81</v>
      </c>
    </row>
    <row r="27" spans="1:7" x14ac:dyDescent="0.35">
      <c r="D27" s="3" t="s">
        <v>104</v>
      </c>
      <c r="G27" s="3" t="s">
        <v>82</v>
      </c>
    </row>
    <row r="28" spans="1:7" x14ac:dyDescent="0.35">
      <c r="D28" s="3" t="s">
        <v>96</v>
      </c>
      <c r="G28" s="3" t="s">
        <v>374</v>
      </c>
    </row>
    <row r="29" spans="1:7" x14ac:dyDescent="0.35">
      <c r="D29" s="3" t="s">
        <v>103</v>
      </c>
    </row>
    <row r="30" spans="1:7" x14ac:dyDescent="0.35">
      <c r="D30" s="3" t="s">
        <v>107</v>
      </c>
    </row>
    <row r="31" spans="1:7" x14ac:dyDescent="0.35">
      <c r="D31" s="3" t="s">
        <v>113</v>
      </c>
    </row>
    <row r="32" spans="1:7" x14ac:dyDescent="0.35">
      <c r="D32" s="3" t="s">
        <v>101</v>
      </c>
    </row>
    <row r="33" spans="1:4" x14ac:dyDescent="0.35">
      <c r="D33" s="3" t="s">
        <v>98</v>
      </c>
    </row>
    <row r="34" spans="1:4" x14ac:dyDescent="0.35">
      <c r="A34" s="3" t="s">
        <v>375</v>
      </c>
    </row>
  </sheetData>
  <sortState xmlns:xlrd2="http://schemas.microsoft.com/office/spreadsheetml/2017/richdata2" ref="D18:D33">
    <sortCondition ref="D18:D33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Diretrizes - Resumo</vt:lpstr>
      <vt:lpstr>Matriz de Obj. Estrat.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Validação de dados</vt:lpstr>
      <vt:lpstr>'Anexo 1. Fontes e Aplicações'!Area_de_impressao</vt:lpstr>
      <vt:lpstr>'Anexo 2. Limites Estratégicos'!Area_de_impressao</vt:lpstr>
      <vt:lpstr>'Anexo 3. Elemento de Despesas'!Area_de_impressao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  <vt:lpstr>'Anexo 2. Limites Estratégicos'!Titulos_de_impressao</vt:lpstr>
      <vt:lpstr>'Anexo 3. Elemento de Despesas'!Titulos_de_impressao</vt:lpstr>
      <vt:lpstr>'Indicadores e Metas'!Titulos_de_impressao</vt:lpstr>
      <vt:lpstr>'Quadro Geral'!Titulos_de_impressao</vt:lpstr>
    </vt:vector>
  </TitlesOfParts>
  <Manager>Luiz Antonio Poletto</Manager>
  <Company>CAU/BR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Programação 2022</dc:subject>
  <dc:creator>GERPLAN-CAU/BR</dc:creator>
  <cp:keywords/>
  <dc:description/>
  <cp:lastModifiedBy>Livian Fernandes Hott</cp:lastModifiedBy>
  <cp:revision/>
  <cp:lastPrinted>2023-11-20T21:40:19Z</cp:lastPrinted>
  <dcterms:created xsi:type="dcterms:W3CDTF">2013-07-30T15:20:59Z</dcterms:created>
  <dcterms:modified xsi:type="dcterms:W3CDTF">2023-11-22T18:37:58Z</dcterms:modified>
  <cp:category/>
  <cp:contentStatus/>
</cp:coreProperties>
</file>