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sldx" ContentType="application/vnd.openxmlformats-officedocument.presentationml.slide"/>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228"/>
  <workbookPr codeName="EstaPasta_de_trabalho"/>
  <mc:AlternateContent xmlns:mc="http://schemas.openxmlformats.org/markup-compatibility/2006">
    <mc:Choice Requires="x15">
      <x15ac:absPath xmlns:x15ac="http://schemas.microsoft.com/office/spreadsheetml/2010/11/ac" url="\\172.16.0.103\fs-caubr\ASSESSORIA DE PLANEJAMENTO E GESTAO DA ESTRATEGIA\2021\Reprogramação 2021\CAU UF\CAU-MG\Versão Final\"/>
    </mc:Choice>
  </mc:AlternateContent>
  <xr:revisionPtr revIDLastSave="0" documentId="13_ncr:1_{F8A178A0-F369-4B57-AE8B-09281761B39A}" xr6:coauthVersionLast="47" xr6:coauthVersionMax="47" xr10:uidLastSave="{00000000-0000-0000-0000-000000000000}"/>
  <bookViews>
    <workbookView xWindow="10620" yWindow="345" windowWidth="10035" windowHeight="10605" tabRatio="887" firstSheet="3" activeTab="4" xr2:uid="{00000000-000D-0000-FFFF-FFFF00000000}"/>
  </bookViews>
  <sheets>
    <sheet name="Resumo (2)" sheetId="37" state="hidden" r:id="rId1"/>
    <sheet name="Tabela Resumo" sheetId="42" r:id="rId2"/>
    <sheet name="Orientações Iniciais" sheetId="29" state="hidden" r:id="rId3"/>
    <sheet name="Mapa Estratégico e ODS " sheetId="35" r:id="rId4"/>
    <sheet name="Indicadores e Metas" sheetId="36" r:id="rId5"/>
    <sheet name="Quadro Geral" sheetId="15" r:id="rId6"/>
    <sheet name="Anexo 1. Fontes e Aplicações" sheetId="8" r:id="rId7"/>
    <sheet name="Anexo 2. Limites Estratégicos" sheetId="23" r:id="rId8"/>
    <sheet name="Anexo 3. Elemento de Despesas" sheetId="38" r:id="rId9"/>
    <sheet name="Anexo 4.Quadro Descritivo." sheetId="39" r:id="rId10"/>
    <sheet name="Resumo" sheetId="31" state="hidden" r:id="rId11"/>
    <sheet name="AÇÕES ESTRATÉGICAS - DESCRIÇÃO" sheetId="40" r:id="rId12"/>
  </sheets>
  <externalReferences>
    <externalReference r:id="rId13"/>
    <externalReference r:id="rId14"/>
    <externalReference r:id="rId15"/>
    <externalReference r:id="rId16"/>
    <externalReference r:id="rId17"/>
    <externalReference r:id="rId18"/>
  </externalReferences>
  <definedNames>
    <definedName name="__xlfn_IFERROR">#N/A</definedName>
    <definedName name="_xlnm._FilterDatabase" localSheetId="8" hidden="1">'Anexo 3. Elemento de Despesas'!$A$6:$AB$48</definedName>
    <definedName name="_xlnm._FilterDatabase" localSheetId="4" hidden="1">'Indicadores e Metas'!$A$29:$S$101</definedName>
    <definedName name="_xlnm._FilterDatabase" localSheetId="5" hidden="1">'Quadro Geral'!$A$7:$R$51</definedName>
    <definedName name="_xlnm._FilterDatabase" localSheetId="1" hidden="1">'Tabela Resumo'!$A$3:$V$30</definedName>
    <definedName name="A" localSheetId="8">#REF!</definedName>
    <definedName name="A" localSheetId="9">#REF!</definedName>
    <definedName name="A" localSheetId="4">#REF!</definedName>
    <definedName name="A" localSheetId="3">#REF!</definedName>
    <definedName name="A" localSheetId="2">#REF!</definedName>
    <definedName name="A" localSheetId="5">#REF!</definedName>
    <definedName name="A" localSheetId="0">#REF!</definedName>
    <definedName name="A" localSheetId="1">#REF!</definedName>
    <definedName name="A">#REF!</definedName>
    <definedName name="Anexo" localSheetId="4">#REF!</definedName>
    <definedName name="Anexo">#REF!</definedName>
    <definedName name="Anexo_1.4.4" localSheetId="4">#REF!</definedName>
    <definedName name="Anexo_1.4.4">#REF!</definedName>
    <definedName name="ar">#N/A</definedName>
    <definedName name="_xlnm.Print_Area" localSheetId="6">'Anexo 1. Fontes e Aplicações'!$A$5:$I$38</definedName>
    <definedName name="_xlnm.Print_Area" localSheetId="7">'Anexo 2. Limites Estratégicos'!$A$2:$F$25</definedName>
    <definedName name="_xlnm.Print_Area" localSheetId="4">'Indicadores e Metas'!$A$2:$F$105</definedName>
    <definedName name="_xlnm.Print_Area" localSheetId="3">'Mapa Estratégico e ODS '!$A$2:$K$52</definedName>
    <definedName name="_xlnm.Print_Area" localSheetId="5">'Quadro Geral'!$E$7:$G$47</definedName>
    <definedName name="asas" localSheetId="4">#REF!</definedName>
    <definedName name="asas">#REF!</definedName>
    <definedName name="ass" localSheetId="4">#REF!</definedName>
    <definedName name="ass">#REF!</definedName>
    <definedName name="_xlnm.Database" localSheetId="8">#REF!</definedName>
    <definedName name="_xlnm.Database" localSheetId="9">#REF!</definedName>
    <definedName name="_xlnm.Database" localSheetId="4">#REF!</definedName>
    <definedName name="_xlnm.Database" localSheetId="3">#REF!</definedName>
    <definedName name="_xlnm.Database" localSheetId="2">#REF!</definedName>
    <definedName name="_xlnm.Database" localSheetId="5">#REF!</definedName>
    <definedName name="_xlnm.Database" localSheetId="0">#REF!</definedName>
    <definedName name="_xlnm.Database" localSheetId="1">#REF!</definedName>
    <definedName name="_xlnm.Database">#REF!</definedName>
    <definedName name="banco_de_dados_sym" localSheetId="8">#REF!</definedName>
    <definedName name="banco_de_dados_sym" localSheetId="4">#REF!</definedName>
    <definedName name="banco_de_dados_sym" localSheetId="3">#REF!</definedName>
    <definedName name="banco_de_dados_sym" localSheetId="0">#REF!</definedName>
    <definedName name="banco_de_dados_sym" localSheetId="1">#REF!</definedName>
    <definedName name="banco_de_dados_sym">#REF!</definedName>
    <definedName name="Copia" localSheetId="4">#REF!</definedName>
    <definedName name="Copia">#REF!</definedName>
    <definedName name="copia2" localSheetId="4">#REF!</definedName>
    <definedName name="copia2">#REF!</definedName>
    <definedName name="_xlnm.Criteria" localSheetId="8">#REF!</definedName>
    <definedName name="_xlnm.Criteria" localSheetId="4">#REF!</definedName>
    <definedName name="_xlnm.Criteria" localSheetId="3">#REF!</definedName>
    <definedName name="_xlnm.Criteria" localSheetId="0">#REF!</definedName>
    <definedName name="_xlnm.Criteria" localSheetId="1">#REF!</definedName>
    <definedName name="_xlnm.Criteria">#REF!</definedName>
    <definedName name="dados" localSheetId="8">#REF!</definedName>
    <definedName name="dados" localSheetId="4">#REF!</definedName>
    <definedName name="dados" localSheetId="3">#REF!</definedName>
    <definedName name="dados" localSheetId="0">#REF!</definedName>
    <definedName name="dados" localSheetId="1">#REF!</definedName>
    <definedName name="dados">#REF!</definedName>
    <definedName name="Database">#REF!</definedName>
    <definedName name="DEZEMBRO">#REF!</definedName>
    <definedName name="huala" localSheetId="8">#REF!</definedName>
    <definedName name="huala" localSheetId="4">#REF!</definedName>
    <definedName name="huala" localSheetId="3">#REF!</definedName>
    <definedName name="huala" localSheetId="0">#REF!</definedName>
    <definedName name="huala" localSheetId="1">#REF!</definedName>
    <definedName name="huala">#REF!</definedName>
    <definedName name="kk" localSheetId="8">#REF!</definedName>
    <definedName name="kk" localSheetId="4">#REF!</definedName>
    <definedName name="kk" localSheetId="3">#REF!</definedName>
    <definedName name="kk" localSheetId="0">#REF!</definedName>
    <definedName name="kk" localSheetId="1">#REF!</definedName>
    <definedName name="kk">#REF!</definedName>
    <definedName name="Percentual5" localSheetId="1">'[1]Estudos - Receita'!$XFB$1:$XFB$20</definedName>
    <definedName name="Percentual5">'[2]Estudos - Receita'!$XFB$1:$XFB$20</definedName>
    <definedName name="PJ2anos" localSheetId="1">'[1]Estudos - Quant. PJ'!$K:$O,'[1]Estudos - Quant. PJ'!$J$2</definedName>
    <definedName name="PJ2anos">'[2]Estudos - Quant. PJ'!$K:$O,'[2]Estudos - Quant. PJ'!$J$2</definedName>
    <definedName name="PREs">#N/A</definedName>
    <definedName name="Presid">#N/A</definedName>
    <definedName name="_xlnm.Print_Titles" localSheetId="4">'Indicadores e Metas'!$2:$3</definedName>
    <definedName name="_xlnm.Print_Titles" localSheetId="5">'Quadro Geral'!$4:$8</definedName>
    <definedName name="X">#REF!</definedName>
    <definedName name="XFE1048575" localSheetId="4">#REF!</definedName>
    <definedName name="XFE1048575" localSheetId="1">#REF!</definedName>
    <definedName name="XFE1048575">#REF!</definedName>
    <definedName name="XFe1048576" localSheetId="4">#REF!</definedName>
    <definedName name="XFe1048576" localSheetId="1">#REF!</definedName>
    <definedName name="XFe1048576">#REF!</definedName>
  </definedNames>
  <calcPr calcId="191029"/>
</workbook>
</file>

<file path=xl/calcChain.xml><?xml version="1.0" encoding="utf-8"?>
<calcChain xmlns="http://schemas.openxmlformats.org/spreadsheetml/2006/main">
  <c r="H47" i="36" l="1"/>
  <c r="H16" i="36"/>
  <c r="H105" i="36"/>
  <c r="H103" i="36"/>
  <c r="H100" i="36"/>
  <c r="H95" i="36"/>
  <c r="H92" i="36"/>
  <c r="H90" i="36"/>
  <c r="H88" i="36"/>
  <c r="H81" i="36"/>
  <c r="H73" i="36"/>
  <c r="H70" i="36"/>
  <c r="H54" i="36"/>
  <c r="H52" i="36"/>
  <c r="H45" i="36"/>
  <c r="H43" i="36"/>
  <c r="H41" i="36"/>
  <c r="H36" i="36"/>
  <c r="H34" i="36"/>
  <c r="H31" i="36"/>
  <c r="H29" i="36"/>
  <c r="H27" i="36"/>
  <c r="H25" i="36"/>
  <c r="H23" i="36"/>
  <c r="H21" i="36"/>
  <c r="H19" i="36"/>
  <c r="H15" i="36"/>
  <c r="H13" i="36"/>
  <c r="H7" i="36"/>
  <c r="R6" i="23" l="1"/>
  <c r="S6" i="23" s="1"/>
  <c r="B58" i="8"/>
  <c r="G104" i="36" l="1"/>
  <c r="G102" i="36"/>
  <c r="G99" i="36"/>
  <c r="G95" i="36"/>
  <c r="G92" i="36"/>
  <c r="G90" i="36"/>
  <c r="G88" i="36"/>
  <c r="G85" i="36"/>
  <c r="G83" i="36"/>
  <c r="G81" i="36"/>
  <c r="G79" i="36"/>
  <c r="G77" i="36"/>
  <c r="G74" i="36"/>
  <c r="G72" i="36"/>
  <c r="G70" i="36"/>
  <c r="G67" i="36"/>
  <c r="G65" i="36"/>
  <c r="G63" i="36"/>
  <c r="G59" i="36"/>
  <c r="G57" i="36"/>
  <c r="G53" i="36"/>
  <c r="G51" i="36"/>
  <c r="G46" i="36"/>
  <c r="G44" i="36"/>
  <c r="G42" i="36"/>
  <c r="G40" i="36"/>
  <c r="G37" i="36"/>
  <c r="G35" i="36"/>
  <c r="G33" i="36"/>
  <c r="G30" i="36"/>
  <c r="G28" i="36"/>
  <c r="G26" i="36"/>
  <c r="G24" i="36"/>
  <c r="G22" i="36"/>
  <c r="G20" i="36"/>
  <c r="G18" i="36"/>
  <c r="G16" i="36"/>
  <c r="G14" i="36"/>
  <c r="G12" i="36"/>
  <c r="G7" i="36"/>
  <c r="AE30" i="42"/>
  <c r="AC30" i="42"/>
  <c r="AA30" i="42"/>
  <c r="Z30" i="42"/>
  <c r="Y30" i="42"/>
  <c r="X30" i="42"/>
  <c r="W30" i="42"/>
  <c r="U30" i="42"/>
  <c r="S30" i="42"/>
  <c r="P30" i="42"/>
  <c r="Q30" i="42" s="1"/>
  <c r="R30" i="42" s="1"/>
  <c r="N30" i="42"/>
  <c r="M30" i="42"/>
  <c r="L30" i="42"/>
  <c r="I30" i="42"/>
  <c r="H30" i="42"/>
  <c r="F30" i="42"/>
  <c r="E30" i="42"/>
  <c r="G30" i="42" s="1"/>
  <c r="C30" i="42"/>
  <c r="B30" i="42"/>
  <c r="AE29" i="42"/>
  <c r="AC29" i="42"/>
  <c r="AA29" i="42"/>
  <c r="Z29" i="42"/>
  <c r="Y29" i="42"/>
  <c r="X29" i="42"/>
  <c r="W29" i="42"/>
  <c r="U29" i="42"/>
  <c r="P29" i="42"/>
  <c r="Q29" i="42" s="1"/>
  <c r="R29" i="42" s="1"/>
  <c r="L29" i="42"/>
  <c r="I29" i="42"/>
  <c r="H29" i="42"/>
  <c r="F29" i="42"/>
  <c r="G29" i="42" s="1"/>
  <c r="E29" i="42"/>
  <c r="C29" i="42"/>
  <c r="B29" i="42"/>
  <c r="AE28" i="42"/>
  <c r="AC28" i="42"/>
  <c r="AA28" i="42"/>
  <c r="Z28" i="42"/>
  <c r="Y28" i="42"/>
  <c r="X28" i="42"/>
  <c r="W28" i="42"/>
  <c r="U28" i="42"/>
  <c r="S28" i="42"/>
  <c r="P28" i="42"/>
  <c r="Q28" i="42" s="1"/>
  <c r="R28" i="42" s="1"/>
  <c r="N28" i="42"/>
  <c r="M28" i="42"/>
  <c r="L28" i="42"/>
  <c r="I28" i="42"/>
  <c r="H28" i="42"/>
  <c r="F28" i="42"/>
  <c r="E28" i="42"/>
  <c r="C28" i="42"/>
  <c r="B28" i="42"/>
  <c r="AE27" i="42"/>
  <c r="AC27" i="42"/>
  <c r="AA27" i="42"/>
  <c r="Z27" i="42"/>
  <c r="Y27" i="42"/>
  <c r="X27" i="42"/>
  <c r="W27" i="42"/>
  <c r="U27" i="42"/>
  <c r="P27" i="42"/>
  <c r="Q27" i="42" s="1"/>
  <c r="R27" i="42" s="1"/>
  <c r="L27" i="42"/>
  <c r="I27" i="42"/>
  <c r="H27" i="42"/>
  <c r="F27" i="42"/>
  <c r="E27" i="42"/>
  <c r="C27" i="42"/>
  <c r="B27" i="42"/>
  <c r="AE26" i="42"/>
  <c r="AC26" i="42"/>
  <c r="AA26" i="42"/>
  <c r="Z26" i="42"/>
  <c r="Y26" i="42"/>
  <c r="X26" i="42"/>
  <c r="W26" i="42"/>
  <c r="U26" i="42"/>
  <c r="P26" i="42"/>
  <c r="Q26" i="42" s="1"/>
  <c r="R26" i="42" s="1"/>
  <c r="L26" i="42"/>
  <c r="I26" i="42"/>
  <c r="H26" i="42"/>
  <c r="F26" i="42"/>
  <c r="E26" i="42"/>
  <c r="C26" i="42"/>
  <c r="B26" i="42"/>
  <c r="AE25" i="42"/>
  <c r="AC25" i="42"/>
  <c r="AA25" i="42"/>
  <c r="Z25" i="42"/>
  <c r="Y25" i="42"/>
  <c r="X25" i="42"/>
  <c r="W25" i="42"/>
  <c r="U25" i="42"/>
  <c r="Q25" i="42"/>
  <c r="R25" i="42" s="1"/>
  <c r="P25" i="42"/>
  <c r="N25" i="42"/>
  <c r="M25" i="42"/>
  <c r="L25" i="42"/>
  <c r="I25" i="42"/>
  <c r="H25" i="42"/>
  <c r="F25" i="42"/>
  <c r="E25" i="42"/>
  <c r="C25" i="42"/>
  <c r="B25" i="42"/>
  <c r="AE24" i="42"/>
  <c r="AC24" i="42"/>
  <c r="AA24" i="42"/>
  <c r="Z24" i="42"/>
  <c r="Y24" i="42"/>
  <c r="X24" i="42"/>
  <c r="W24" i="42"/>
  <c r="U24" i="42"/>
  <c r="P24" i="42"/>
  <c r="Q24" i="42" s="1"/>
  <c r="R24" i="42" s="1"/>
  <c r="N24" i="42"/>
  <c r="M24" i="42"/>
  <c r="L24" i="42"/>
  <c r="I24" i="42"/>
  <c r="H24" i="42"/>
  <c r="F24" i="42"/>
  <c r="E24" i="42"/>
  <c r="C24" i="42"/>
  <c r="B24" i="42"/>
  <c r="AE23" i="42"/>
  <c r="AC23" i="42"/>
  <c r="AA23" i="42"/>
  <c r="Z23" i="42"/>
  <c r="Y23" i="42"/>
  <c r="X23" i="42"/>
  <c r="W23" i="42"/>
  <c r="U23" i="42"/>
  <c r="P23" i="42"/>
  <c r="Q23" i="42" s="1"/>
  <c r="R23" i="42" s="1"/>
  <c r="L23" i="42"/>
  <c r="I23" i="42"/>
  <c r="H23" i="42"/>
  <c r="F23" i="42"/>
  <c r="E23" i="42"/>
  <c r="C23" i="42"/>
  <c r="B23" i="42"/>
  <c r="AE22" i="42"/>
  <c r="AC22" i="42"/>
  <c r="AA22" i="42"/>
  <c r="Z22" i="42"/>
  <c r="Y22" i="42"/>
  <c r="X22" i="42"/>
  <c r="W22" i="42"/>
  <c r="U22" i="42"/>
  <c r="S22" i="42"/>
  <c r="P22" i="42"/>
  <c r="Q22" i="42" s="1"/>
  <c r="R22" i="42" s="1"/>
  <c r="L22" i="42"/>
  <c r="I22" i="42"/>
  <c r="H22" i="42"/>
  <c r="F22" i="42"/>
  <c r="E22" i="42"/>
  <c r="C22" i="42"/>
  <c r="B22" i="42"/>
  <c r="AE21" i="42"/>
  <c r="AC21" i="42"/>
  <c r="AA21" i="42"/>
  <c r="Z21" i="42"/>
  <c r="Y21" i="42"/>
  <c r="X21" i="42"/>
  <c r="W21" i="42"/>
  <c r="U21" i="42"/>
  <c r="P21" i="42"/>
  <c r="Q21" i="42" s="1"/>
  <c r="R21" i="42" s="1"/>
  <c r="L21" i="42"/>
  <c r="I21" i="42"/>
  <c r="H21" i="42"/>
  <c r="F21" i="42"/>
  <c r="E21" i="42"/>
  <c r="C21" i="42"/>
  <c r="B21" i="42"/>
  <c r="D21" i="42" s="1"/>
  <c r="AE20" i="42"/>
  <c r="AC20" i="42"/>
  <c r="AA20" i="42"/>
  <c r="Z20" i="42"/>
  <c r="Y20" i="42"/>
  <c r="X20" i="42"/>
  <c r="W20" i="42"/>
  <c r="U20" i="42"/>
  <c r="P20" i="42"/>
  <c r="Q20" i="42" s="1"/>
  <c r="R20" i="42" s="1"/>
  <c r="N20" i="42"/>
  <c r="M20" i="42"/>
  <c r="L20" i="42"/>
  <c r="I20" i="42"/>
  <c r="H20" i="42"/>
  <c r="F20" i="42"/>
  <c r="E20" i="42"/>
  <c r="G20" i="42" s="1"/>
  <c r="C20" i="42"/>
  <c r="B20" i="42"/>
  <c r="AE19" i="42"/>
  <c r="AC19" i="42"/>
  <c r="AA19" i="42"/>
  <c r="Z19" i="42"/>
  <c r="Y19" i="42"/>
  <c r="X19" i="42"/>
  <c r="W19" i="42"/>
  <c r="U19" i="42"/>
  <c r="P19" i="42"/>
  <c r="Q19" i="42" s="1"/>
  <c r="R19" i="42" s="1"/>
  <c r="L19" i="42"/>
  <c r="I19" i="42"/>
  <c r="H19" i="42"/>
  <c r="F19" i="42"/>
  <c r="E19" i="42"/>
  <c r="C19" i="42"/>
  <c r="B19" i="42"/>
  <c r="AE18" i="42"/>
  <c r="AC18" i="42"/>
  <c r="AA18" i="42"/>
  <c r="Z18" i="42"/>
  <c r="Y18" i="42"/>
  <c r="X18" i="42"/>
  <c r="W18" i="42"/>
  <c r="U18" i="42"/>
  <c r="S18" i="42"/>
  <c r="P18" i="42"/>
  <c r="Q18" i="42" s="1"/>
  <c r="R18" i="42" s="1"/>
  <c r="L18" i="42"/>
  <c r="I18" i="42"/>
  <c r="H18" i="42"/>
  <c r="F18" i="42"/>
  <c r="E18" i="42"/>
  <c r="C18" i="42"/>
  <c r="B18" i="42"/>
  <c r="AE17" i="42"/>
  <c r="AC17" i="42"/>
  <c r="AA17" i="42"/>
  <c r="Z17" i="42"/>
  <c r="Y17" i="42"/>
  <c r="X17" i="42"/>
  <c r="W17" i="42"/>
  <c r="U17" i="42"/>
  <c r="P17" i="42"/>
  <c r="Q17" i="42" s="1"/>
  <c r="R17" i="42" s="1"/>
  <c r="L17" i="42"/>
  <c r="I17" i="42"/>
  <c r="H17" i="42"/>
  <c r="F17" i="42"/>
  <c r="E17" i="42"/>
  <c r="C17" i="42"/>
  <c r="B17" i="42"/>
  <c r="AH16" i="42"/>
  <c r="AE16" i="42"/>
  <c r="AC16" i="42"/>
  <c r="AA16" i="42"/>
  <c r="Z16" i="42"/>
  <c r="Y16" i="42"/>
  <c r="X16" i="42"/>
  <c r="W16" i="42"/>
  <c r="U16" i="42"/>
  <c r="P16" i="42"/>
  <c r="Q16" i="42" s="1"/>
  <c r="R16" i="42" s="1"/>
  <c r="L16" i="42"/>
  <c r="I16" i="42"/>
  <c r="H16" i="42"/>
  <c r="F16" i="42"/>
  <c r="E16" i="42"/>
  <c r="C16" i="42"/>
  <c r="B16" i="42"/>
  <c r="AE15" i="42"/>
  <c r="AC15" i="42"/>
  <c r="AA15" i="42"/>
  <c r="Z15" i="42"/>
  <c r="Y15" i="42"/>
  <c r="X15" i="42"/>
  <c r="W15" i="42"/>
  <c r="U15" i="42"/>
  <c r="Q15" i="42"/>
  <c r="R15" i="42" s="1"/>
  <c r="P15" i="42"/>
  <c r="L15" i="42"/>
  <c r="I15" i="42"/>
  <c r="H15" i="42"/>
  <c r="F15" i="42"/>
  <c r="E15" i="42"/>
  <c r="C15" i="42"/>
  <c r="B15" i="42"/>
  <c r="AE14" i="42"/>
  <c r="AC14" i="42"/>
  <c r="AK8" i="42" s="1"/>
  <c r="AA14" i="42"/>
  <c r="AK16" i="42" s="1"/>
  <c r="Z14" i="42"/>
  <c r="AK15" i="42" s="1"/>
  <c r="H85" i="36" s="1"/>
  <c r="Y14" i="42"/>
  <c r="AK14" i="42" s="1"/>
  <c r="X14" i="42"/>
  <c r="W14" i="42"/>
  <c r="AK12" i="42" s="1"/>
  <c r="H83" i="36" s="1"/>
  <c r="U14" i="42"/>
  <c r="AH15" i="42" s="1"/>
  <c r="P14" i="42"/>
  <c r="AK3" i="42" s="1"/>
  <c r="L14" i="42"/>
  <c r="AK6" i="42" s="1"/>
  <c r="K34" i="8" s="1"/>
  <c r="I14" i="42"/>
  <c r="AH13" i="42" s="1"/>
  <c r="K21" i="8" s="1"/>
  <c r="H14" i="42"/>
  <c r="AH12" i="42" s="1"/>
  <c r="K20" i="8" s="1"/>
  <c r="F14" i="42"/>
  <c r="E14" i="42"/>
  <c r="AH10" i="42" s="1"/>
  <c r="C14" i="42"/>
  <c r="D14" i="42" s="1"/>
  <c r="B14" i="42"/>
  <c r="AK13" i="42"/>
  <c r="AE13" i="42"/>
  <c r="AC13" i="42"/>
  <c r="AA13" i="42"/>
  <c r="Z13" i="42"/>
  <c r="Y13" i="42"/>
  <c r="X13" i="42"/>
  <c r="W13" i="42"/>
  <c r="U13" i="42"/>
  <c r="P13" i="42"/>
  <c r="Q13" i="42" s="1"/>
  <c r="R13" i="42" s="1"/>
  <c r="N13" i="42"/>
  <c r="M13" i="42"/>
  <c r="L13" i="42"/>
  <c r="I13" i="42"/>
  <c r="H13" i="42"/>
  <c r="F13" i="42"/>
  <c r="E13" i="42"/>
  <c r="C13" i="42"/>
  <c r="B13" i="42"/>
  <c r="AE12" i="42"/>
  <c r="AC12" i="42"/>
  <c r="AA12" i="42"/>
  <c r="Z12" i="42"/>
  <c r="Y12" i="42"/>
  <c r="X12" i="42"/>
  <c r="W12" i="42"/>
  <c r="U12" i="42"/>
  <c r="P12" i="42"/>
  <c r="Q12" i="42" s="1"/>
  <c r="R12" i="42" s="1"/>
  <c r="L12" i="42"/>
  <c r="I12" i="42"/>
  <c r="H12" i="42"/>
  <c r="F12" i="42"/>
  <c r="E12" i="42"/>
  <c r="G12" i="42" s="1"/>
  <c r="C12" i="42"/>
  <c r="B12" i="42"/>
  <c r="AH11" i="42"/>
  <c r="K19" i="8" s="1"/>
  <c r="AE11" i="42"/>
  <c r="AC11" i="42"/>
  <c r="AA11" i="42"/>
  <c r="Z11" i="42"/>
  <c r="Y11" i="42"/>
  <c r="X11" i="42"/>
  <c r="W11" i="42"/>
  <c r="U11" i="42"/>
  <c r="P11" i="42"/>
  <c r="Q11" i="42" s="1"/>
  <c r="R11" i="42" s="1"/>
  <c r="L11" i="42"/>
  <c r="I11" i="42"/>
  <c r="H11" i="42"/>
  <c r="F11" i="42"/>
  <c r="E11" i="42"/>
  <c r="C11" i="42"/>
  <c r="B11" i="42"/>
  <c r="AE10" i="42"/>
  <c r="AC10" i="42"/>
  <c r="AA10" i="42"/>
  <c r="Z10" i="42"/>
  <c r="Y10" i="42"/>
  <c r="X10" i="42"/>
  <c r="W10" i="42"/>
  <c r="U10" i="42"/>
  <c r="P10" i="42"/>
  <c r="Q10" i="42" s="1"/>
  <c r="R10" i="42" s="1"/>
  <c r="L10" i="42"/>
  <c r="I10" i="42"/>
  <c r="H10" i="42"/>
  <c r="F10" i="42"/>
  <c r="E10" i="42"/>
  <c r="C10" i="42"/>
  <c r="B10" i="42"/>
  <c r="AK9" i="42"/>
  <c r="AE9" i="42"/>
  <c r="AC9" i="42"/>
  <c r="AA9" i="42"/>
  <c r="Z9" i="42"/>
  <c r="Y9" i="42"/>
  <c r="X9" i="42"/>
  <c r="W9" i="42"/>
  <c r="U9" i="42"/>
  <c r="S9" i="42"/>
  <c r="P9" i="42"/>
  <c r="Q9" i="42" s="1"/>
  <c r="R9" i="42" s="1"/>
  <c r="L9" i="42"/>
  <c r="I9" i="42"/>
  <c r="H9" i="42"/>
  <c r="F9" i="42"/>
  <c r="E9" i="42"/>
  <c r="C9" i="42"/>
  <c r="B9" i="42"/>
  <c r="AE8" i="42"/>
  <c r="AC8" i="42"/>
  <c r="AA8" i="42"/>
  <c r="Z8" i="42"/>
  <c r="Y8" i="42"/>
  <c r="X8" i="42"/>
  <c r="W8" i="42"/>
  <c r="U8" i="42"/>
  <c r="P8" i="42"/>
  <c r="Q8" i="42" s="1"/>
  <c r="R8" i="42" s="1"/>
  <c r="L8" i="42"/>
  <c r="I8" i="42"/>
  <c r="H8" i="42"/>
  <c r="F8" i="42"/>
  <c r="E8" i="42"/>
  <c r="C8" i="42"/>
  <c r="B8" i="42"/>
  <c r="AK7" i="42"/>
  <c r="AH7" i="42"/>
  <c r="K15" i="8" s="1"/>
  <c r="AE7" i="42"/>
  <c r="AC7" i="42"/>
  <c r="AA7" i="42"/>
  <c r="Z7" i="42"/>
  <c r="Y7" i="42"/>
  <c r="X7" i="42"/>
  <c r="W7" i="42"/>
  <c r="U7" i="42"/>
  <c r="P7" i="42"/>
  <c r="Q7" i="42" s="1"/>
  <c r="R7" i="42" s="1"/>
  <c r="N7" i="42"/>
  <c r="M7" i="42"/>
  <c r="L7" i="42"/>
  <c r="I7" i="42"/>
  <c r="H7" i="42"/>
  <c r="F7" i="42"/>
  <c r="E7" i="42"/>
  <c r="C7" i="42"/>
  <c r="B7" i="42"/>
  <c r="AE6" i="42"/>
  <c r="AC6" i="42"/>
  <c r="AA6" i="42"/>
  <c r="Z6" i="42"/>
  <c r="Y6" i="42"/>
  <c r="X6" i="42"/>
  <c r="W6" i="42"/>
  <c r="U6" i="42"/>
  <c r="P6" i="42"/>
  <c r="Q6" i="42" s="1"/>
  <c r="R6" i="42" s="1"/>
  <c r="N6" i="42"/>
  <c r="M6" i="42"/>
  <c r="L6" i="42"/>
  <c r="I6" i="42"/>
  <c r="H6" i="42"/>
  <c r="F6" i="42"/>
  <c r="E6" i="42"/>
  <c r="C6" i="42"/>
  <c r="B6" i="42"/>
  <c r="AK5" i="42"/>
  <c r="AE5" i="42"/>
  <c r="AC5" i="42"/>
  <c r="AA5" i="42"/>
  <c r="Z5" i="42"/>
  <c r="Y5" i="42"/>
  <c r="X5" i="42"/>
  <c r="W5" i="42"/>
  <c r="U5" i="42"/>
  <c r="P5" i="42"/>
  <c r="Q5" i="42" s="1"/>
  <c r="R5" i="42" s="1"/>
  <c r="N5" i="42"/>
  <c r="M5" i="42"/>
  <c r="L5" i="42"/>
  <c r="I5" i="42"/>
  <c r="H5" i="42"/>
  <c r="F5" i="42"/>
  <c r="E5" i="42"/>
  <c r="G5" i="42" s="1"/>
  <c r="C5" i="42"/>
  <c r="B5" i="42"/>
  <c r="AE4" i="42"/>
  <c r="AC4" i="42"/>
  <c r="AA4" i="42"/>
  <c r="Z4" i="42"/>
  <c r="Y4" i="42"/>
  <c r="X4" i="42"/>
  <c r="W4" i="42"/>
  <c r="U4" i="42"/>
  <c r="P4" i="42"/>
  <c r="Q4" i="42" s="1"/>
  <c r="R4" i="42" s="1"/>
  <c r="N4" i="42"/>
  <c r="M4" i="42"/>
  <c r="L4" i="42"/>
  <c r="I4" i="42"/>
  <c r="H4" i="42"/>
  <c r="F4" i="42"/>
  <c r="E4" i="42"/>
  <c r="C4" i="42"/>
  <c r="B4" i="42"/>
  <c r="G7" i="42" l="1"/>
  <c r="G9" i="42"/>
  <c r="J9" i="42" s="1"/>
  <c r="K9" i="42" s="1"/>
  <c r="D10" i="42"/>
  <c r="D11" i="42"/>
  <c r="D7" i="42"/>
  <c r="AH8" i="42"/>
  <c r="K16" i="8" s="1"/>
  <c r="D19" i="42"/>
  <c r="D26" i="42"/>
  <c r="G28" i="42"/>
  <c r="D5" i="42"/>
  <c r="G10" i="42"/>
  <c r="G11" i="42"/>
  <c r="J11" i="42" s="1"/>
  <c r="K11" i="42" s="1"/>
  <c r="D12" i="42"/>
  <c r="D15" i="42"/>
  <c r="J15" i="42" s="1"/>
  <c r="K15" i="42" s="1"/>
  <c r="G23" i="42"/>
  <c r="G18" i="42"/>
  <c r="D30" i="42"/>
  <c r="J30" i="42" s="1"/>
  <c r="K30" i="42" s="1"/>
  <c r="G15" i="42"/>
  <c r="D18" i="42"/>
  <c r="D22" i="42"/>
  <c r="D23" i="42"/>
  <c r="J23" i="42" s="1"/>
  <c r="K23" i="42" s="1"/>
  <c r="D25" i="42"/>
  <c r="D28" i="42"/>
  <c r="J28" i="42" s="1"/>
  <c r="K28" i="42" s="1"/>
  <c r="D9" i="42"/>
  <c r="G13" i="42"/>
  <c r="G21" i="42"/>
  <c r="D24" i="42"/>
  <c r="J24" i="42" s="1"/>
  <c r="K24" i="42" s="1"/>
  <c r="K23" i="8"/>
  <c r="D4" i="42"/>
  <c r="U31" i="42"/>
  <c r="U32" i="42" s="1"/>
  <c r="G6" i="42"/>
  <c r="G8" i="42"/>
  <c r="D16" i="42"/>
  <c r="G17" i="42"/>
  <c r="J18" i="42"/>
  <c r="K18" i="42" s="1"/>
  <c r="G19" i="42"/>
  <c r="G22" i="42"/>
  <c r="J22" i="42" s="1"/>
  <c r="K22" i="42" s="1"/>
  <c r="G24" i="42"/>
  <c r="G25" i="42"/>
  <c r="G26" i="42"/>
  <c r="G27" i="42"/>
  <c r="D29" i="42"/>
  <c r="J7" i="42"/>
  <c r="K7" i="42" s="1"/>
  <c r="AH9" i="42"/>
  <c r="K17" i="8" s="1"/>
  <c r="K18" i="8"/>
  <c r="G4" i="42"/>
  <c r="J5" i="42"/>
  <c r="K5" i="42" s="1"/>
  <c r="D6" i="42"/>
  <c r="AH6" i="42"/>
  <c r="K14" i="8" s="1"/>
  <c r="D8" i="42"/>
  <c r="D13" i="42"/>
  <c r="J13" i="42" s="1"/>
  <c r="K13" i="42" s="1"/>
  <c r="G16" i="42"/>
  <c r="D17" i="42"/>
  <c r="D20" i="42"/>
  <c r="J20" i="42" s="1"/>
  <c r="K20" i="42" s="1"/>
  <c r="D27" i="42"/>
  <c r="J25" i="42"/>
  <c r="K25" i="42" s="1"/>
  <c r="J26" i="42"/>
  <c r="K26" i="42" s="1"/>
  <c r="J10" i="42"/>
  <c r="K10" i="42" s="1"/>
  <c r="J29" i="42"/>
  <c r="K29" i="42" s="1"/>
  <c r="J12" i="42"/>
  <c r="K12" i="42" s="1"/>
  <c r="J19" i="42"/>
  <c r="K19" i="42" s="1"/>
  <c r="J21" i="42"/>
  <c r="K21" i="42" s="1"/>
  <c r="Q14" i="42"/>
  <c r="G14" i="42"/>
  <c r="J14" i="42" s="1"/>
  <c r="K14" i="42" s="1"/>
  <c r="J8" i="42" l="1"/>
  <c r="K8" i="42" s="1"/>
  <c r="J17" i="42"/>
  <c r="K17" i="42" s="1"/>
  <c r="J16" i="42"/>
  <c r="K16" i="42" s="1"/>
  <c r="J4" i="42"/>
  <c r="K4" i="42" s="1"/>
  <c r="AH5" i="42"/>
  <c r="J27" i="42"/>
  <c r="K27" i="42" s="1"/>
  <c r="J6" i="42"/>
  <c r="K6" i="42" s="1"/>
  <c r="R14" i="42"/>
  <c r="AK4" i="42"/>
  <c r="K35" i="8" s="1"/>
  <c r="AH4" i="42" l="1"/>
  <c r="K13" i="8"/>
  <c r="AA36" i="15"/>
  <c r="AA37" i="15"/>
  <c r="AA38" i="15"/>
  <c r="AA39" i="15"/>
  <c r="AA40" i="15"/>
  <c r="AA41" i="15"/>
  <c r="AA42" i="15"/>
  <c r="AA43" i="15"/>
  <c r="AA44" i="15"/>
  <c r="AA45" i="15"/>
  <c r="AA35" i="15"/>
  <c r="AA31" i="15"/>
  <c r="AA32" i="15"/>
  <c r="AA33" i="15"/>
  <c r="AA34" i="15"/>
  <c r="AA30" i="15"/>
  <c r="AA10" i="15"/>
  <c r="AA11" i="15"/>
  <c r="AA12" i="15"/>
  <c r="AA13" i="15"/>
  <c r="AA14" i="15"/>
  <c r="AA15" i="15"/>
  <c r="AA16" i="15"/>
  <c r="AA17" i="15"/>
  <c r="AA18" i="15"/>
  <c r="AA19" i="15"/>
  <c r="AA20" i="15"/>
  <c r="AA21" i="15"/>
  <c r="AA22" i="15"/>
  <c r="AA23" i="15"/>
  <c r="AA24" i="15"/>
  <c r="AA25" i="15"/>
  <c r="AA26" i="15"/>
  <c r="AA27" i="15"/>
  <c r="AA28" i="15"/>
  <c r="AA29" i="15"/>
  <c r="AA9" i="15"/>
  <c r="Z36" i="15"/>
  <c r="Z37" i="15"/>
  <c r="Z38" i="15"/>
  <c r="Z39" i="15"/>
  <c r="Z40" i="15"/>
  <c r="Z41" i="15"/>
  <c r="Z42" i="15"/>
  <c r="Z43" i="15"/>
  <c r="Z44" i="15"/>
  <c r="Z45" i="15"/>
  <c r="Z35" i="15"/>
  <c r="Z31" i="15"/>
  <c r="Z32" i="15"/>
  <c r="Z33" i="15"/>
  <c r="Z34" i="15"/>
  <c r="Z30" i="15"/>
  <c r="Z10" i="15"/>
  <c r="Z11" i="15"/>
  <c r="Z12" i="15"/>
  <c r="Z13" i="15"/>
  <c r="Z14" i="15"/>
  <c r="Z15" i="15"/>
  <c r="Z16" i="15"/>
  <c r="Z17" i="15"/>
  <c r="Z18" i="15"/>
  <c r="Z19" i="15"/>
  <c r="Z20" i="15"/>
  <c r="Z21" i="15"/>
  <c r="Z22" i="15"/>
  <c r="Z23" i="15"/>
  <c r="Z24" i="15"/>
  <c r="Z25" i="15"/>
  <c r="Z26" i="15"/>
  <c r="Z27" i="15"/>
  <c r="Z28" i="15"/>
  <c r="Z29" i="15"/>
  <c r="Z9" i="15"/>
  <c r="Y36" i="15"/>
  <c r="Y37" i="15"/>
  <c r="Y38" i="15"/>
  <c r="Y39" i="15"/>
  <c r="Y40" i="15"/>
  <c r="Y41" i="15"/>
  <c r="Y42" i="15"/>
  <c r="Y43" i="15"/>
  <c r="Y44" i="15"/>
  <c r="Y45" i="15"/>
  <c r="Y35" i="15"/>
  <c r="Y31" i="15"/>
  <c r="Y32" i="15"/>
  <c r="Y33" i="15"/>
  <c r="Y34" i="15"/>
  <c r="Y30" i="15"/>
  <c r="Y10" i="15"/>
  <c r="Y11" i="15"/>
  <c r="Y12" i="15"/>
  <c r="Y13" i="15"/>
  <c r="Y14" i="15"/>
  <c r="Y15" i="15"/>
  <c r="Y16" i="15"/>
  <c r="Y17" i="15"/>
  <c r="Y18" i="15"/>
  <c r="Y19" i="15"/>
  <c r="Y20" i="15"/>
  <c r="Y21" i="15"/>
  <c r="Y22" i="15"/>
  <c r="Y23" i="15"/>
  <c r="Y24" i="15"/>
  <c r="Y25" i="15"/>
  <c r="Y26" i="15"/>
  <c r="Y27" i="15"/>
  <c r="Y28" i="15"/>
  <c r="Y29" i="15"/>
  <c r="Y9" i="15"/>
  <c r="X36" i="15"/>
  <c r="X37" i="15"/>
  <c r="X38" i="15"/>
  <c r="X39" i="15"/>
  <c r="X40" i="15"/>
  <c r="X41" i="15"/>
  <c r="X42" i="15"/>
  <c r="X43" i="15"/>
  <c r="X44" i="15"/>
  <c r="X45" i="15"/>
  <c r="X35" i="15"/>
  <c r="X31" i="15"/>
  <c r="X32" i="15"/>
  <c r="X33" i="15"/>
  <c r="X34" i="15"/>
  <c r="X30" i="15"/>
  <c r="X10" i="15"/>
  <c r="X11" i="15"/>
  <c r="X12" i="15"/>
  <c r="X13" i="15"/>
  <c r="X14" i="15"/>
  <c r="X15" i="15"/>
  <c r="X16" i="15"/>
  <c r="X17" i="15"/>
  <c r="X18" i="15"/>
  <c r="X19" i="15"/>
  <c r="X20" i="15"/>
  <c r="X21" i="15"/>
  <c r="X22" i="15"/>
  <c r="X23" i="15"/>
  <c r="X24" i="15"/>
  <c r="X25" i="15"/>
  <c r="X26" i="15"/>
  <c r="X27" i="15"/>
  <c r="X28" i="15"/>
  <c r="X29" i="15"/>
  <c r="X9" i="15"/>
  <c r="W36" i="15"/>
  <c r="W37" i="15"/>
  <c r="W38" i="15"/>
  <c r="W39" i="15"/>
  <c r="W40" i="15"/>
  <c r="W41" i="15"/>
  <c r="W42" i="15"/>
  <c r="W43" i="15"/>
  <c r="W44" i="15"/>
  <c r="W45" i="15"/>
  <c r="W35" i="15"/>
  <c r="W31" i="15"/>
  <c r="W32" i="15"/>
  <c r="W33" i="15"/>
  <c r="W34" i="15"/>
  <c r="W30" i="15"/>
  <c r="W10" i="15"/>
  <c r="W11" i="15"/>
  <c r="W12" i="15"/>
  <c r="W13" i="15"/>
  <c r="W14" i="15"/>
  <c r="W15" i="15"/>
  <c r="W16" i="15"/>
  <c r="W17" i="15"/>
  <c r="W18" i="15"/>
  <c r="W19" i="15"/>
  <c r="W20" i="15"/>
  <c r="W21" i="15"/>
  <c r="W22" i="15"/>
  <c r="W23" i="15"/>
  <c r="W24" i="15"/>
  <c r="W25" i="15"/>
  <c r="W26" i="15"/>
  <c r="W27" i="15"/>
  <c r="W28" i="15"/>
  <c r="W29" i="15"/>
  <c r="W9" i="15"/>
  <c r="V36" i="15"/>
  <c r="V37" i="15"/>
  <c r="V38" i="15"/>
  <c r="V39" i="15"/>
  <c r="V40" i="15"/>
  <c r="V41" i="15"/>
  <c r="V42" i="15"/>
  <c r="V43" i="15"/>
  <c r="V44" i="15"/>
  <c r="V45" i="15"/>
  <c r="V35" i="15"/>
  <c r="V31" i="15"/>
  <c r="V32" i="15"/>
  <c r="V33" i="15"/>
  <c r="V34" i="15"/>
  <c r="V30" i="15"/>
  <c r="V10" i="15"/>
  <c r="V11" i="15"/>
  <c r="V12" i="15"/>
  <c r="V13" i="15"/>
  <c r="V14" i="15"/>
  <c r="V15" i="15"/>
  <c r="V16" i="15"/>
  <c r="V17" i="15"/>
  <c r="V18" i="15"/>
  <c r="V19" i="15"/>
  <c r="V20" i="15"/>
  <c r="V21" i="15"/>
  <c r="V22" i="15"/>
  <c r="V23" i="15"/>
  <c r="V24" i="15"/>
  <c r="V25" i="15"/>
  <c r="V26" i="15"/>
  <c r="V27" i="15"/>
  <c r="V28" i="15"/>
  <c r="V29" i="15"/>
  <c r="V9" i="15"/>
  <c r="U36" i="15"/>
  <c r="U37" i="15"/>
  <c r="U38" i="15"/>
  <c r="U39" i="15"/>
  <c r="U40" i="15"/>
  <c r="U41" i="15"/>
  <c r="U42" i="15"/>
  <c r="U43" i="15"/>
  <c r="U44" i="15"/>
  <c r="U45" i="15"/>
  <c r="U35" i="15"/>
  <c r="U31" i="15"/>
  <c r="U32" i="15"/>
  <c r="U33" i="15"/>
  <c r="U34" i="15"/>
  <c r="U30" i="15"/>
  <c r="U10" i="15"/>
  <c r="U11" i="15"/>
  <c r="U12" i="15"/>
  <c r="U13" i="15"/>
  <c r="U14" i="15"/>
  <c r="U15" i="15"/>
  <c r="U16" i="15"/>
  <c r="U17" i="15"/>
  <c r="U18" i="15"/>
  <c r="U19" i="15"/>
  <c r="U20" i="15"/>
  <c r="U21" i="15"/>
  <c r="U22" i="15"/>
  <c r="U23" i="15"/>
  <c r="U24" i="15"/>
  <c r="U25" i="15"/>
  <c r="U26" i="15"/>
  <c r="U27" i="15"/>
  <c r="U28" i="15"/>
  <c r="U29" i="15"/>
  <c r="U9" i="15"/>
  <c r="T36" i="15"/>
  <c r="T37" i="15"/>
  <c r="T38" i="15"/>
  <c r="T39" i="15"/>
  <c r="T40" i="15"/>
  <c r="T41" i="15"/>
  <c r="T42" i="15"/>
  <c r="T43" i="15"/>
  <c r="T44" i="15"/>
  <c r="T45" i="15"/>
  <c r="T35" i="15"/>
  <c r="T31" i="15"/>
  <c r="T32" i="15"/>
  <c r="T33" i="15"/>
  <c r="T34" i="15"/>
  <c r="T30" i="15"/>
  <c r="T29" i="15"/>
  <c r="T10" i="15"/>
  <c r="T11" i="15"/>
  <c r="T12" i="15"/>
  <c r="T13" i="15"/>
  <c r="T14" i="15"/>
  <c r="T15" i="15"/>
  <c r="T16" i="15"/>
  <c r="T17" i="15"/>
  <c r="T18" i="15"/>
  <c r="T19" i="15"/>
  <c r="T20" i="15"/>
  <c r="T21" i="15"/>
  <c r="T22" i="15"/>
  <c r="T23" i="15"/>
  <c r="T24" i="15"/>
  <c r="T25" i="15"/>
  <c r="T26" i="15"/>
  <c r="T27" i="15"/>
  <c r="T28" i="15"/>
  <c r="T9" i="15"/>
  <c r="Q14" i="23"/>
  <c r="Q6" i="23"/>
  <c r="Q5" i="23"/>
  <c r="J15" i="8"/>
  <c r="J16" i="8"/>
  <c r="J18" i="8"/>
  <c r="J19" i="8"/>
  <c r="J20" i="8"/>
  <c r="J21" i="8"/>
  <c r="J22" i="8"/>
  <c r="J23" i="8"/>
  <c r="J24" i="8"/>
  <c r="J26" i="8"/>
  <c r="J27" i="8"/>
  <c r="J29" i="8"/>
  <c r="G98" i="36"/>
  <c r="G61" i="36"/>
  <c r="G56" i="36"/>
  <c r="G49" i="36"/>
  <c r="AH3" i="42" l="1"/>
  <c r="K11" i="8" s="1"/>
  <c r="K12" i="8"/>
  <c r="D20" i="23"/>
  <c r="G20" i="23" s="1"/>
  <c r="C8" i="38" l="1"/>
  <c r="C9" i="38"/>
  <c r="C10" i="38"/>
  <c r="C11" i="38"/>
  <c r="C12" i="38"/>
  <c r="C13" i="38"/>
  <c r="C14" i="38"/>
  <c r="C15" i="38"/>
  <c r="C16" i="38"/>
  <c r="C17" i="38"/>
  <c r="C18" i="38"/>
  <c r="C19" i="38"/>
  <c r="C20" i="38"/>
  <c r="C21" i="38"/>
  <c r="C22" i="38"/>
  <c r="C23" i="38"/>
  <c r="C24" i="38"/>
  <c r="C25" i="38"/>
  <c r="C26" i="38"/>
  <c r="C27" i="38"/>
  <c r="C28" i="38"/>
  <c r="C29" i="38"/>
  <c r="C30" i="38"/>
  <c r="C31" i="38"/>
  <c r="C32" i="38"/>
  <c r="C33" i="38"/>
  <c r="C34" i="38"/>
  <c r="C35" i="38"/>
  <c r="C36" i="38"/>
  <c r="C37" i="38"/>
  <c r="C38" i="38"/>
  <c r="C39" i="38"/>
  <c r="C40" i="38"/>
  <c r="C41" i="38"/>
  <c r="C42" i="38"/>
  <c r="C43" i="38"/>
  <c r="C44" i="38"/>
  <c r="C45" i="38"/>
  <c r="C7" i="38"/>
  <c r="A8" i="38"/>
  <c r="A9" i="38"/>
  <c r="A10" i="38"/>
  <c r="A11" i="38"/>
  <c r="A12" i="38"/>
  <c r="A13" i="38"/>
  <c r="A14" i="38"/>
  <c r="A15" i="38"/>
  <c r="A16" i="38"/>
  <c r="A17" i="38"/>
  <c r="A18" i="38"/>
  <c r="A19" i="38"/>
  <c r="A20" i="38"/>
  <c r="A21" i="38"/>
  <c r="A22" i="38"/>
  <c r="A23" i="38"/>
  <c r="A24" i="38"/>
  <c r="A25" i="38"/>
  <c r="A26" i="38"/>
  <c r="A27" i="38"/>
  <c r="A28" i="38"/>
  <c r="A29" i="38"/>
  <c r="A30" i="38"/>
  <c r="A31" i="38"/>
  <c r="A32" i="38"/>
  <c r="A33" i="38"/>
  <c r="A34" i="38"/>
  <c r="A35" i="38"/>
  <c r="A36" i="38"/>
  <c r="A37" i="38"/>
  <c r="A38" i="38"/>
  <c r="A39" i="38"/>
  <c r="A40" i="38"/>
  <c r="A41" i="38"/>
  <c r="A42" i="38"/>
  <c r="A43" i="38"/>
  <c r="A44" i="38"/>
  <c r="A45" i="38"/>
  <c r="A7" i="38"/>
  <c r="O44" i="38" l="1"/>
  <c r="Q44" i="38" s="1"/>
  <c r="O25" i="38"/>
  <c r="K46" i="38"/>
  <c r="F46" i="38"/>
  <c r="O26" i="38"/>
  <c r="P46" i="38"/>
  <c r="C50" i="8" s="1"/>
  <c r="O24" i="38"/>
  <c r="H46" i="38"/>
  <c r="O43" i="38"/>
  <c r="Q43" i="38" s="1"/>
  <c r="G46" i="38"/>
  <c r="I46" i="38"/>
  <c r="M46" i="38"/>
  <c r="N46" i="38"/>
  <c r="L46" i="38"/>
  <c r="O42" i="38"/>
  <c r="Q42" i="38" s="1"/>
  <c r="O45" i="38"/>
  <c r="Q45" i="38" s="1"/>
  <c r="O41" i="38"/>
  <c r="Q41" i="38" s="1"/>
  <c r="O5" i="23" l="1"/>
  <c r="R5" i="23"/>
  <c r="J46" i="38"/>
  <c r="R12" i="23" l="1"/>
  <c r="S5" i="23"/>
  <c r="E79" i="36"/>
  <c r="E40" i="36"/>
  <c r="J48" i="15" l="1"/>
  <c r="A3" i="15" l="1"/>
  <c r="F712" i="39" l="1"/>
  <c r="F700" i="39"/>
  <c r="F688" i="39"/>
  <c r="F672" i="39"/>
  <c r="F660" i="39"/>
  <c r="F625" i="39"/>
  <c r="F583" i="39"/>
  <c r="F529" i="39"/>
  <c r="F509" i="39"/>
  <c r="F493" i="39"/>
  <c r="F480" i="39"/>
  <c r="F350" i="39"/>
  <c r="F335" i="39"/>
  <c r="F320" i="39"/>
  <c r="F290" i="39"/>
  <c r="F275" i="39"/>
  <c r="F242" i="39"/>
  <c r="F200" i="39"/>
  <c r="F163" i="39"/>
  <c r="F144" i="39"/>
  <c r="F122" i="39"/>
  <c r="G684" i="39"/>
  <c r="H684" i="39" s="1"/>
  <c r="G685" i="39"/>
  <c r="H685" i="39" s="1"/>
  <c r="G686" i="39"/>
  <c r="H686" i="39" s="1"/>
  <c r="G687" i="39"/>
  <c r="H687" i="39" s="1"/>
  <c r="G637" i="39"/>
  <c r="G638" i="39"/>
  <c r="G639" i="39"/>
  <c r="G640" i="39"/>
  <c r="G641" i="39"/>
  <c r="G642" i="39"/>
  <c r="G643" i="39"/>
  <c r="G644" i="39"/>
  <c r="G645" i="39"/>
  <c r="G646" i="39"/>
  <c r="G647" i="39"/>
  <c r="G622" i="39"/>
  <c r="G623" i="39"/>
  <c r="G624" i="39"/>
  <c r="G607" i="39"/>
  <c r="H607" i="39" s="1"/>
  <c r="G608" i="39"/>
  <c r="H608" i="39" s="1"/>
  <c r="G609" i="39"/>
  <c r="J609" i="39" s="1"/>
  <c r="G582" i="39"/>
  <c r="H582" i="39" s="1"/>
  <c r="G565" i="39"/>
  <c r="H565" i="39" s="1"/>
  <c r="G568" i="39"/>
  <c r="H568" i="39" s="1"/>
  <c r="G569" i="39"/>
  <c r="H569" i="39" s="1"/>
  <c r="G544" i="39"/>
  <c r="H544" i="39" s="1"/>
  <c r="G545" i="39"/>
  <c r="H545" i="39" s="1"/>
  <c r="G546" i="39"/>
  <c r="H546" i="39" s="1"/>
  <c r="G547" i="39"/>
  <c r="H547" i="39" s="1"/>
  <c r="G548" i="39"/>
  <c r="H548" i="39" s="1"/>
  <c r="G549" i="39"/>
  <c r="H549" i="39" s="1"/>
  <c r="G550" i="39"/>
  <c r="H550" i="39" s="1"/>
  <c r="G551" i="39"/>
  <c r="H551" i="39" s="1"/>
  <c r="G552" i="39"/>
  <c r="H552" i="39" s="1"/>
  <c r="G522" i="39"/>
  <c r="H522" i="39" s="1"/>
  <c r="G523" i="39"/>
  <c r="H523" i="39" s="1"/>
  <c r="G524" i="39"/>
  <c r="H524" i="39" s="1"/>
  <c r="G525" i="39"/>
  <c r="H525" i="39" s="1"/>
  <c r="G526" i="39"/>
  <c r="H526" i="39" s="1"/>
  <c r="G527" i="39"/>
  <c r="H527" i="39" s="1"/>
  <c r="G528" i="39"/>
  <c r="H528" i="39" s="1"/>
  <c r="G505" i="39"/>
  <c r="G506" i="39"/>
  <c r="J506" i="39" s="1"/>
  <c r="G507" i="39"/>
  <c r="J507" i="39" s="1"/>
  <c r="G508" i="39"/>
  <c r="G474" i="39"/>
  <c r="H474" i="39" s="1"/>
  <c r="G475" i="39"/>
  <c r="H475" i="39" s="1"/>
  <c r="G476" i="39"/>
  <c r="H476" i="39" s="1"/>
  <c r="G477" i="39"/>
  <c r="H477" i="39" s="1"/>
  <c r="G478" i="39"/>
  <c r="H478" i="39" s="1"/>
  <c r="G479" i="39"/>
  <c r="H479" i="39" s="1"/>
  <c r="G433" i="39"/>
  <c r="G434" i="39"/>
  <c r="G435" i="39"/>
  <c r="G436" i="39"/>
  <c r="H436" i="39" s="1"/>
  <c r="G437" i="39"/>
  <c r="G438" i="39"/>
  <c r="H438" i="39" s="1"/>
  <c r="G439" i="39"/>
  <c r="H439" i="39" s="1"/>
  <c r="G440" i="39"/>
  <c r="H440" i="39" s="1"/>
  <c r="G441" i="39"/>
  <c r="G442" i="39"/>
  <c r="G366" i="39"/>
  <c r="J366" i="39" s="1"/>
  <c r="G367" i="39"/>
  <c r="H367" i="39" s="1"/>
  <c r="G368" i="39"/>
  <c r="J368" i="39" s="1"/>
  <c r="G347" i="39"/>
  <c r="H347" i="39" s="1"/>
  <c r="G348" i="39"/>
  <c r="H348" i="39" s="1"/>
  <c r="G349" i="39"/>
  <c r="H349" i="39" s="1"/>
  <c r="G332" i="39"/>
  <c r="H332" i="39" s="1"/>
  <c r="G334" i="39"/>
  <c r="H334" i="39" s="1"/>
  <c r="G317" i="39"/>
  <c r="G318" i="39"/>
  <c r="G319" i="39"/>
  <c r="G287" i="39"/>
  <c r="H287" i="39" s="1"/>
  <c r="G288" i="39"/>
  <c r="H288" i="39" s="1"/>
  <c r="G289" i="39"/>
  <c r="H289" i="39" s="1"/>
  <c r="G254" i="39"/>
  <c r="H254" i="39" s="1"/>
  <c r="G255" i="39"/>
  <c r="H255" i="39" s="1"/>
  <c r="G256" i="39"/>
  <c r="H256" i="39" s="1"/>
  <c r="G257" i="39"/>
  <c r="H257" i="39" s="1"/>
  <c r="G258" i="39"/>
  <c r="H258" i="39" s="1"/>
  <c r="G259" i="39"/>
  <c r="H259" i="39" s="1"/>
  <c r="G260" i="39"/>
  <c r="H260" i="39" s="1"/>
  <c r="G261" i="39"/>
  <c r="H261" i="39" s="1"/>
  <c r="G263" i="39"/>
  <c r="H263" i="39" s="1"/>
  <c r="G264" i="39"/>
  <c r="H264" i="39" s="1"/>
  <c r="G265" i="39"/>
  <c r="H265" i="39" s="1"/>
  <c r="G266" i="39"/>
  <c r="H266" i="39" s="1"/>
  <c r="G267" i="39"/>
  <c r="H267" i="39" s="1"/>
  <c r="G268" i="39"/>
  <c r="H268" i="39" s="1"/>
  <c r="G269" i="39"/>
  <c r="H269" i="39" s="1"/>
  <c r="G270" i="39"/>
  <c r="H270" i="39" s="1"/>
  <c r="G271" i="39"/>
  <c r="H271" i="39" s="1"/>
  <c r="G272" i="39"/>
  <c r="H272" i="39" s="1"/>
  <c r="G273" i="39"/>
  <c r="H273" i="39" s="1"/>
  <c r="G274" i="39"/>
  <c r="H274" i="39" s="1"/>
  <c r="G229" i="39"/>
  <c r="H229" i="39" s="1"/>
  <c r="G230" i="39"/>
  <c r="H230" i="39" s="1"/>
  <c r="G231" i="39"/>
  <c r="H231" i="39" s="1"/>
  <c r="G232" i="39"/>
  <c r="H232" i="39" s="1"/>
  <c r="G233" i="39"/>
  <c r="H233" i="39" s="1"/>
  <c r="G234" i="39"/>
  <c r="H234" i="39" s="1"/>
  <c r="G235" i="39"/>
  <c r="H235" i="39" s="1"/>
  <c r="G236" i="39"/>
  <c r="H236" i="39" s="1"/>
  <c r="G237" i="39"/>
  <c r="H237" i="39" s="1"/>
  <c r="G238" i="39"/>
  <c r="H238" i="39" s="1"/>
  <c r="G239" i="39"/>
  <c r="H239" i="39" s="1"/>
  <c r="G240" i="39"/>
  <c r="H240" i="39" s="1"/>
  <c r="G241" i="39"/>
  <c r="H241" i="39" s="1"/>
  <c r="G212" i="39"/>
  <c r="H212" i="39" s="1"/>
  <c r="G213" i="39"/>
  <c r="H213" i="39" s="1"/>
  <c r="G214" i="39"/>
  <c r="H214" i="39" s="1"/>
  <c r="G215" i="39"/>
  <c r="H215" i="39" s="1"/>
  <c r="G216" i="39"/>
  <c r="H216" i="39" s="1"/>
  <c r="G175" i="39"/>
  <c r="H175" i="39" s="1"/>
  <c r="G176" i="39"/>
  <c r="H176" i="39" s="1"/>
  <c r="G177" i="39"/>
  <c r="H177" i="39" s="1"/>
  <c r="G178" i="39"/>
  <c r="H178" i="39" s="1"/>
  <c r="G179" i="39"/>
  <c r="H179" i="39" s="1"/>
  <c r="G180" i="39"/>
  <c r="H180" i="39" s="1"/>
  <c r="G181" i="39"/>
  <c r="H181" i="39" s="1"/>
  <c r="G182" i="39"/>
  <c r="H182" i="39" s="1"/>
  <c r="G183" i="39"/>
  <c r="H183" i="39" s="1"/>
  <c r="G184" i="39"/>
  <c r="H184" i="39" s="1"/>
  <c r="G185" i="39"/>
  <c r="H185" i="39" s="1"/>
  <c r="G186" i="39"/>
  <c r="H186" i="39" s="1"/>
  <c r="G187" i="39"/>
  <c r="H187" i="39" s="1"/>
  <c r="G188" i="39"/>
  <c r="H188" i="39" s="1"/>
  <c r="G189" i="39"/>
  <c r="H189" i="39" s="1"/>
  <c r="G190" i="39"/>
  <c r="H190" i="39" s="1"/>
  <c r="G191" i="39"/>
  <c r="H191" i="39" s="1"/>
  <c r="G192" i="39"/>
  <c r="H192" i="39" s="1"/>
  <c r="G193" i="39"/>
  <c r="H193" i="39" s="1"/>
  <c r="G194" i="39"/>
  <c r="H194" i="39" s="1"/>
  <c r="G195" i="39"/>
  <c r="H195" i="39" s="1"/>
  <c r="G196" i="39"/>
  <c r="H196" i="39" s="1"/>
  <c r="G197" i="39"/>
  <c r="H197" i="39" s="1"/>
  <c r="G198" i="39"/>
  <c r="H198" i="39" s="1"/>
  <c r="G199" i="39"/>
  <c r="H199" i="39" s="1"/>
  <c r="G156" i="39"/>
  <c r="H156" i="39" s="1"/>
  <c r="G157" i="39"/>
  <c r="H157" i="39" s="1"/>
  <c r="G158" i="39"/>
  <c r="H158" i="39" s="1"/>
  <c r="G159" i="39"/>
  <c r="H159" i="39" s="1"/>
  <c r="G160" i="39"/>
  <c r="H160" i="39" s="1"/>
  <c r="G161" i="39"/>
  <c r="H161" i="39" s="1"/>
  <c r="G162" i="39"/>
  <c r="H162" i="39" s="1"/>
  <c r="G134" i="39"/>
  <c r="H134" i="39" s="1"/>
  <c r="G135" i="39"/>
  <c r="H135" i="39" s="1"/>
  <c r="G136" i="39"/>
  <c r="H136" i="39" s="1"/>
  <c r="G137" i="39"/>
  <c r="H137" i="39" s="1"/>
  <c r="G138" i="39"/>
  <c r="H138" i="39" s="1"/>
  <c r="G139" i="39"/>
  <c r="H139" i="39" s="1"/>
  <c r="G140" i="39"/>
  <c r="H140" i="39" s="1"/>
  <c r="G141" i="39"/>
  <c r="H141" i="39" s="1"/>
  <c r="G142" i="39"/>
  <c r="H142" i="39" s="1"/>
  <c r="G143" i="39"/>
  <c r="H143" i="39" s="1"/>
  <c r="G102" i="39"/>
  <c r="H102" i="39" s="1"/>
  <c r="G103" i="39"/>
  <c r="H103" i="39" s="1"/>
  <c r="G104" i="39"/>
  <c r="H104" i="39" s="1"/>
  <c r="G105" i="39"/>
  <c r="H105" i="39" s="1"/>
  <c r="G106" i="39"/>
  <c r="H106" i="39" s="1"/>
  <c r="G107" i="39"/>
  <c r="H107" i="39" s="1"/>
  <c r="G108" i="39"/>
  <c r="H108" i="39" s="1"/>
  <c r="G109" i="39"/>
  <c r="H109" i="39" s="1"/>
  <c r="G110" i="39"/>
  <c r="H110" i="39" s="1"/>
  <c r="G111" i="39"/>
  <c r="H111" i="39" s="1"/>
  <c r="G112" i="39"/>
  <c r="H112" i="39" s="1"/>
  <c r="G113" i="39"/>
  <c r="H113" i="39" s="1"/>
  <c r="G114" i="39"/>
  <c r="H114" i="39" s="1"/>
  <c r="G115" i="39"/>
  <c r="H115" i="39" s="1"/>
  <c r="G116" i="39"/>
  <c r="H116" i="39" s="1"/>
  <c r="G117" i="39"/>
  <c r="H117" i="39" s="1"/>
  <c r="G118" i="39"/>
  <c r="H118" i="39" s="1"/>
  <c r="G119" i="39"/>
  <c r="H119" i="39" s="1"/>
  <c r="G120" i="39"/>
  <c r="H120" i="39" s="1"/>
  <c r="G121" i="39"/>
  <c r="H121" i="39" s="1"/>
  <c r="G63" i="39"/>
  <c r="H63" i="39" s="1"/>
  <c r="G64" i="39"/>
  <c r="H64" i="39" s="1"/>
  <c r="G65" i="39"/>
  <c r="H65" i="39" s="1"/>
  <c r="G66" i="39"/>
  <c r="H66" i="39" s="1"/>
  <c r="G67" i="39"/>
  <c r="H67" i="39" s="1"/>
  <c r="G68" i="39"/>
  <c r="H68" i="39" s="1"/>
  <c r="G69" i="39"/>
  <c r="H69" i="39" s="1"/>
  <c r="G70" i="39"/>
  <c r="H70" i="39" s="1"/>
  <c r="G71" i="39"/>
  <c r="H71" i="39" s="1"/>
  <c r="G72" i="39"/>
  <c r="H72" i="39" s="1"/>
  <c r="G73" i="39"/>
  <c r="H73" i="39" s="1"/>
  <c r="G74" i="39"/>
  <c r="H74" i="39" s="1"/>
  <c r="G75" i="39"/>
  <c r="H75" i="39" s="1"/>
  <c r="G76" i="39"/>
  <c r="H76" i="39" s="1"/>
  <c r="G77" i="39"/>
  <c r="H77" i="39" s="1"/>
  <c r="G29" i="39"/>
  <c r="G30" i="39"/>
  <c r="G31" i="39"/>
  <c r="G32" i="39"/>
  <c r="G33" i="39"/>
  <c r="G35" i="39"/>
  <c r="G36" i="39"/>
  <c r="G37" i="39"/>
  <c r="G38" i="39"/>
  <c r="G39" i="39"/>
  <c r="G40" i="39"/>
  <c r="G41" i="39"/>
  <c r="G42" i="39"/>
  <c r="G43" i="39"/>
  <c r="G44" i="39"/>
  <c r="G45" i="39"/>
  <c r="G46" i="39"/>
  <c r="G47" i="39"/>
  <c r="G48" i="39"/>
  <c r="G49" i="39"/>
  <c r="G50" i="39"/>
  <c r="G10" i="39"/>
  <c r="H10" i="39" s="1"/>
  <c r="G11" i="39"/>
  <c r="H11" i="39" s="1"/>
  <c r="G12" i="39"/>
  <c r="H12" i="39" s="1"/>
  <c r="G13" i="39"/>
  <c r="H13" i="39" s="1"/>
  <c r="G14" i="39"/>
  <c r="H14" i="39" s="1"/>
  <c r="G15" i="39"/>
  <c r="H15" i="39" s="1"/>
  <c r="G16" i="39"/>
  <c r="H16" i="39" s="1"/>
  <c r="J438" i="39" l="1"/>
  <c r="J441" i="39"/>
  <c r="H441" i="39"/>
  <c r="J437" i="39"/>
  <c r="H437" i="39"/>
  <c r="J433" i="39"/>
  <c r="H433" i="39"/>
  <c r="J439" i="39"/>
  <c r="J435" i="39"/>
  <c r="H435" i="39"/>
  <c r="J442" i="39"/>
  <c r="H442" i="39"/>
  <c r="J434" i="39"/>
  <c r="H434" i="39"/>
  <c r="J367" i="39"/>
  <c r="J607" i="39"/>
  <c r="H609" i="39"/>
  <c r="J608" i="39"/>
  <c r="H366" i="39"/>
  <c r="H368" i="39"/>
  <c r="J440" i="39"/>
  <c r="J436" i="39"/>
  <c r="L47" i="15"/>
  <c r="M47" i="15" s="1"/>
  <c r="L46" i="15"/>
  <c r="M46" i="15" s="1"/>
  <c r="D44" i="38" l="1"/>
  <c r="S44" i="38" s="1"/>
  <c r="P46" i="15"/>
  <c r="Q46" i="15"/>
  <c r="D45" i="38"/>
  <c r="S45" i="38" s="1"/>
  <c r="P47" i="15"/>
  <c r="Q47" i="15"/>
  <c r="G542" i="39"/>
  <c r="H542" i="39" s="1"/>
  <c r="G543" i="39"/>
  <c r="H543" i="39" s="1"/>
  <c r="L16" i="15"/>
  <c r="L15" i="15"/>
  <c r="L14" i="15"/>
  <c r="F78" i="39"/>
  <c r="G34" i="39"/>
  <c r="J569" i="39"/>
  <c r="G711" i="39"/>
  <c r="H711" i="39" s="1"/>
  <c r="D712" i="39"/>
  <c r="E712" i="39"/>
  <c r="I712" i="39"/>
  <c r="G365" i="39"/>
  <c r="C36" i="8"/>
  <c r="E23" i="8"/>
  <c r="J687" i="39"/>
  <c r="J686" i="39"/>
  <c r="H622" i="39"/>
  <c r="H623" i="39"/>
  <c r="H624" i="39"/>
  <c r="J544" i="39"/>
  <c r="J545" i="39"/>
  <c r="J546" i="39"/>
  <c r="J547" i="39"/>
  <c r="J548" i="39"/>
  <c r="J549" i="39"/>
  <c r="J550" i="39"/>
  <c r="J551" i="39"/>
  <c r="J552" i="39"/>
  <c r="J525" i="39"/>
  <c r="J527" i="39"/>
  <c r="H508" i="39"/>
  <c r="G492" i="39"/>
  <c r="H492" i="39" s="1"/>
  <c r="J478" i="39"/>
  <c r="J479" i="39"/>
  <c r="G457" i="39"/>
  <c r="G458" i="39"/>
  <c r="J458" i="39" s="1"/>
  <c r="G459" i="39"/>
  <c r="G460" i="39"/>
  <c r="G461" i="39"/>
  <c r="K29" i="15"/>
  <c r="D36" i="8" s="1"/>
  <c r="K28" i="15"/>
  <c r="L27" i="15"/>
  <c r="H317" i="39"/>
  <c r="H318" i="39"/>
  <c r="H319" i="39"/>
  <c r="G302" i="39"/>
  <c r="H302" i="39" s="1"/>
  <c r="G303" i="39"/>
  <c r="H303" i="39" s="1"/>
  <c r="G304" i="39"/>
  <c r="H304" i="39" s="1"/>
  <c r="H29" i="39"/>
  <c r="H30" i="39"/>
  <c r="H31" i="39"/>
  <c r="H32" i="39"/>
  <c r="H33" i="39"/>
  <c r="H34" i="39"/>
  <c r="H35" i="39"/>
  <c r="H36" i="39"/>
  <c r="H37" i="39"/>
  <c r="H38" i="39"/>
  <c r="H39" i="39"/>
  <c r="H40" i="39"/>
  <c r="H41" i="39"/>
  <c r="H42" i="39"/>
  <c r="H43" i="39"/>
  <c r="H44" i="39"/>
  <c r="H45" i="39"/>
  <c r="H46" i="39"/>
  <c r="H47" i="39"/>
  <c r="H48" i="39"/>
  <c r="H49" i="39"/>
  <c r="H50" i="39"/>
  <c r="H637" i="39"/>
  <c r="H638" i="39"/>
  <c r="H639" i="39"/>
  <c r="H640" i="39"/>
  <c r="H641" i="39"/>
  <c r="H643" i="39"/>
  <c r="H644" i="39"/>
  <c r="H645" i="39"/>
  <c r="H647" i="39"/>
  <c r="H642" i="39"/>
  <c r="H646" i="39"/>
  <c r="H458" i="39" l="1"/>
  <c r="F36" i="8"/>
  <c r="J36" i="8"/>
  <c r="G541" i="39"/>
  <c r="H541" i="39" s="1"/>
  <c r="F553" i="39"/>
  <c r="H365" i="39"/>
  <c r="J365" i="39"/>
  <c r="H459" i="39"/>
  <c r="J459" i="39"/>
  <c r="H460" i="39"/>
  <c r="J460" i="39"/>
  <c r="H461" i="39"/>
  <c r="J461" i="39"/>
  <c r="H457" i="39"/>
  <c r="J457" i="39"/>
  <c r="G712" i="39"/>
  <c r="J712" i="39" s="1"/>
  <c r="J524" i="39"/>
  <c r="J568" i="39"/>
  <c r="J477" i="39"/>
  <c r="J528" i="39"/>
  <c r="J685" i="39"/>
  <c r="J476" i="39"/>
  <c r="H712" i="39" l="1"/>
  <c r="E570" i="39"/>
  <c r="K37" i="15" s="1"/>
  <c r="H507" i="39"/>
  <c r="H505" i="39"/>
  <c r="H506" i="39"/>
  <c r="G432" i="39"/>
  <c r="H432" i="39" s="1"/>
  <c r="G431" i="39"/>
  <c r="H431" i="39" s="1"/>
  <c r="G430" i="39"/>
  <c r="H430" i="39" s="1"/>
  <c r="L29" i="15"/>
  <c r="M29" i="15" s="1"/>
  <c r="G362" i="39"/>
  <c r="H362" i="39" s="1"/>
  <c r="K36" i="8" l="1"/>
  <c r="L36" i="8" s="1"/>
  <c r="H24" i="23"/>
  <c r="D27" i="38"/>
  <c r="Q29" i="15"/>
  <c r="R29" i="15" s="1"/>
  <c r="P29" i="15"/>
  <c r="J431" i="39"/>
  <c r="J430" i="39"/>
  <c r="J432" i="39"/>
  <c r="E24" i="23"/>
  <c r="J543" i="39"/>
  <c r="G364" i="39"/>
  <c r="G333" i="39"/>
  <c r="H333" i="39" s="1"/>
  <c r="J265" i="39"/>
  <c r="J268" i="39"/>
  <c r="J260" i="39"/>
  <c r="J261" i="39"/>
  <c r="J264" i="39"/>
  <c r="J266" i="39"/>
  <c r="J270" i="39"/>
  <c r="J272" i="39"/>
  <c r="J273" i="39"/>
  <c r="J274" i="39"/>
  <c r="J236" i="39"/>
  <c r="J237" i="39"/>
  <c r="J238" i="39"/>
  <c r="J239" i="39"/>
  <c r="J240" i="39"/>
  <c r="J181" i="39"/>
  <c r="J182" i="39"/>
  <c r="J183" i="39"/>
  <c r="J184" i="39"/>
  <c r="J185" i="39"/>
  <c r="J186" i="39"/>
  <c r="J187" i="39"/>
  <c r="J188" i="39"/>
  <c r="J189" i="39"/>
  <c r="J190" i="39"/>
  <c r="J191" i="39"/>
  <c r="J192" i="39"/>
  <c r="J193" i="39"/>
  <c r="J194" i="39"/>
  <c r="J195" i="39"/>
  <c r="J196" i="39"/>
  <c r="J197" i="39"/>
  <c r="J198" i="39"/>
  <c r="J199" i="39"/>
  <c r="J74" i="39"/>
  <c r="J75" i="39"/>
  <c r="J76" i="39"/>
  <c r="J77" i="39"/>
  <c r="J40" i="39"/>
  <c r="J41" i="39"/>
  <c r="J42" i="39"/>
  <c r="J43" i="39"/>
  <c r="J44" i="39"/>
  <c r="J45" i="39"/>
  <c r="J46" i="39"/>
  <c r="J47" i="39"/>
  <c r="J48" i="39"/>
  <c r="J49" i="39"/>
  <c r="J50" i="39"/>
  <c r="J112" i="39"/>
  <c r="J113" i="39"/>
  <c r="J114" i="39"/>
  <c r="J115" i="39"/>
  <c r="J116" i="39"/>
  <c r="J117" i="39"/>
  <c r="J118" i="39"/>
  <c r="J119" i="39"/>
  <c r="J120" i="39"/>
  <c r="J121" i="39"/>
  <c r="L12" i="15"/>
  <c r="K12" i="15"/>
  <c r="I24" i="23" l="1"/>
  <c r="M12" i="15"/>
  <c r="J364" i="39"/>
  <c r="H364" i="39"/>
  <c r="J269" i="39"/>
  <c r="J263" i="39"/>
  <c r="J271" i="39"/>
  <c r="J267" i="39"/>
  <c r="L34" i="15"/>
  <c r="D10" i="38" l="1"/>
  <c r="P12" i="15"/>
  <c r="Q12" i="15"/>
  <c r="R12" i="15" s="1"/>
  <c r="F648" i="39"/>
  <c r="G566" i="39"/>
  <c r="H566" i="39" s="1"/>
  <c r="F462" i="39"/>
  <c r="G567" i="39" l="1"/>
  <c r="H567" i="39" s="1"/>
  <c r="F570" i="39"/>
  <c r="J235" i="39"/>
  <c r="J566" i="39" l="1"/>
  <c r="J526" i="39"/>
  <c r="J567" i="39"/>
  <c r="D18" i="23" l="1"/>
  <c r="G18" i="23" s="1"/>
  <c r="D24" i="23"/>
  <c r="G24" i="23" s="1"/>
  <c r="D22" i="23"/>
  <c r="G22" i="23" s="1"/>
  <c r="D16" i="23" l="1"/>
  <c r="G16" i="23" s="1"/>
  <c r="D14" i="23"/>
  <c r="G14" i="23" s="1"/>
  <c r="D12" i="23"/>
  <c r="G12" i="23" s="1"/>
  <c r="E700" i="39"/>
  <c r="D699" i="39"/>
  <c r="D700" i="39" s="1"/>
  <c r="D701" i="39"/>
  <c r="D584" i="39"/>
  <c r="D494" i="39"/>
  <c r="O48" i="15"/>
  <c r="I700" i="39"/>
  <c r="C35" i="8" l="1"/>
  <c r="J35" i="8" s="1"/>
  <c r="C34" i="8"/>
  <c r="J34" i="8" s="1"/>
  <c r="I688" i="39" l="1"/>
  <c r="E688" i="39"/>
  <c r="K45" i="15" s="1"/>
  <c r="D688" i="39"/>
  <c r="J684" i="39"/>
  <c r="G683" i="39"/>
  <c r="I672" i="39"/>
  <c r="L44" i="15"/>
  <c r="M44" i="15" s="1"/>
  <c r="H22" i="23" s="1"/>
  <c r="E672" i="39"/>
  <c r="D672" i="39"/>
  <c r="G671" i="39"/>
  <c r="H671" i="39" s="1"/>
  <c r="I660" i="39"/>
  <c r="L43" i="15"/>
  <c r="M43" i="15" s="1"/>
  <c r="H18" i="23" s="1"/>
  <c r="E660" i="39"/>
  <c r="D660" i="39"/>
  <c r="G659" i="39"/>
  <c r="G660" i="39" s="1"/>
  <c r="I648" i="39"/>
  <c r="E648" i="39"/>
  <c r="K42" i="15" s="1"/>
  <c r="D648" i="39"/>
  <c r="G636" i="39"/>
  <c r="I625" i="39"/>
  <c r="L41" i="15"/>
  <c r="E625" i="39"/>
  <c r="K41" i="15" s="1"/>
  <c r="D625" i="39"/>
  <c r="G621" i="39"/>
  <c r="H621" i="39" s="1"/>
  <c r="I610" i="39"/>
  <c r="E610" i="39"/>
  <c r="K40" i="15" s="1"/>
  <c r="D610" i="39"/>
  <c r="I595" i="39"/>
  <c r="F595" i="39"/>
  <c r="E595" i="39"/>
  <c r="K39" i="15" s="1"/>
  <c r="D595" i="39"/>
  <c r="G594" i="39"/>
  <c r="H594" i="39" s="1"/>
  <c r="D42" i="38" l="1"/>
  <c r="S42" i="38" s="1"/>
  <c r="P44" i="15"/>
  <c r="Q44" i="15"/>
  <c r="R44" i="15" s="1"/>
  <c r="P43" i="15"/>
  <c r="Q43" i="15"/>
  <c r="R43" i="15" s="1"/>
  <c r="E18" i="23"/>
  <c r="I18" i="23" s="1"/>
  <c r="D41" i="38"/>
  <c r="S41" i="38" s="1"/>
  <c r="M41" i="15"/>
  <c r="H636" i="39"/>
  <c r="G648" i="39"/>
  <c r="H648" i="39" s="1"/>
  <c r="L39" i="15"/>
  <c r="M39" i="15" s="1"/>
  <c r="E22" i="23"/>
  <c r="I22" i="23" s="1"/>
  <c r="J683" i="39"/>
  <c r="L45" i="15"/>
  <c r="M45" i="15" s="1"/>
  <c r="L42" i="15"/>
  <c r="M42" i="15" s="1"/>
  <c r="R14" i="23" s="1"/>
  <c r="G688" i="39"/>
  <c r="H688" i="39" s="1"/>
  <c r="H683" i="39"/>
  <c r="H659" i="39"/>
  <c r="G672" i="39"/>
  <c r="H660" i="39"/>
  <c r="J660" i="39"/>
  <c r="G625" i="39"/>
  <c r="H625" i="39" s="1"/>
  <c r="G595" i="39"/>
  <c r="H595" i="39" s="1"/>
  <c r="R15" i="23" l="1"/>
  <c r="S14" i="23"/>
  <c r="D37" i="38"/>
  <c r="P39" i="15"/>
  <c r="Q39" i="15"/>
  <c r="R39" i="15" s="1"/>
  <c r="D39" i="38"/>
  <c r="Q41" i="15"/>
  <c r="R41" i="15" s="1"/>
  <c r="P41" i="15"/>
  <c r="D40" i="38"/>
  <c r="P42" i="15"/>
  <c r="Q42" i="15"/>
  <c r="R42" i="15" s="1"/>
  <c r="D43" i="38"/>
  <c r="S43" i="38" s="1"/>
  <c r="Q45" i="15"/>
  <c r="R45" i="15" s="1"/>
  <c r="P45" i="15"/>
  <c r="J688" i="39"/>
  <c r="J672" i="39"/>
  <c r="H672" i="39"/>
  <c r="J648" i="39"/>
  <c r="J625" i="39"/>
  <c r="J595" i="39"/>
  <c r="I583" i="39" l="1"/>
  <c r="L38" i="15"/>
  <c r="E583" i="39"/>
  <c r="K38" i="15" s="1"/>
  <c r="D583" i="39"/>
  <c r="J582" i="39"/>
  <c r="G581" i="39"/>
  <c r="J581" i="39" s="1"/>
  <c r="I570" i="39"/>
  <c r="D570" i="39"/>
  <c r="G564" i="39"/>
  <c r="J564" i="39" s="1"/>
  <c r="I553" i="39"/>
  <c r="L36" i="15"/>
  <c r="E553" i="39"/>
  <c r="K36" i="15" s="1"/>
  <c r="D553" i="39"/>
  <c r="J542" i="39"/>
  <c r="J541" i="39"/>
  <c r="G540" i="39"/>
  <c r="I529" i="39"/>
  <c r="L35" i="15"/>
  <c r="E529" i="39"/>
  <c r="K35" i="15" s="1"/>
  <c r="M35" i="15" s="1"/>
  <c r="D529" i="39"/>
  <c r="J522" i="39"/>
  <c r="G521" i="39"/>
  <c r="I509" i="39"/>
  <c r="E509" i="39"/>
  <c r="D509" i="39"/>
  <c r="J505" i="39"/>
  <c r="G504" i="39"/>
  <c r="J504" i="39" s="1"/>
  <c r="M38" i="15" l="1"/>
  <c r="P38" i="15" s="1"/>
  <c r="D33" i="38"/>
  <c r="P35" i="15"/>
  <c r="Q35" i="15"/>
  <c r="R35" i="15" s="1"/>
  <c r="D36" i="38"/>
  <c r="M36" i="15"/>
  <c r="K34" i="15"/>
  <c r="M34" i="15" s="1"/>
  <c r="H521" i="39"/>
  <c r="J521" i="39"/>
  <c r="H504" i="39"/>
  <c r="H540" i="39"/>
  <c r="J540" i="39"/>
  <c r="G583" i="39"/>
  <c r="H583" i="39" s="1"/>
  <c r="H564" i="39"/>
  <c r="H581" i="39"/>
  <c r="J523" i="39"/>
  <c r="G529" i="39"/>
  <c r="H529" i="39" s="1"/>
  <c r="G553" i="39"/>
  <c r="G509" i="39"/>
  <c r="I493" i="39"/>
  <c r="E493" i="39"/>
  <c r="K33" i="15" s="1"/>
  <c r="D493" i="39"/>
  <c r="G491" i="39"/>
  <c r="I480" i="39"/>
  <c r="L32" i="15"/>
  <c r="E480" i="39"/>
  <c r="K32" i="15" s="1"/>
  <c r="D480" i="39"/>
  <c r="J475" i="39"/>
  <c r="J474" i="39"/>
  <c r="G473" i="39"/>
  <c r="I462" i="39"/>
  <c r="L31" i="15"/>
  <c r="E462" i="39"/>
  <c r="K31" i="15" s="1"/>
  <c r="D31" i="8" s="1"/>
  <c r="D462" i="39"/>
  <c r="G456" i="39"/>
  <c r="J456" i="39" s="1"/>
  <c r="G455" i="39"/>
  <c r="J455" i="39" s="1"/>
  <c r="G454" i="39"/>
  <c r="J454" i="39" s="1"/>
  <c r="I443" i="39"/>
  <c r="E443" i="39"/>
  <c r="K30" i="15" s="1"/>
  <c r="D443" i="39"/>
  <c r="I417" i="39"/>
  <c r="F417" i="39"/>
  <c r="E417" i="39"/>
  <c r="D417" i="39"/>
  <c r="G416" i="39"/>
  <c r="H416" i="39" s="1"/>
  <c r="I405" i="39"/>
  <c r="F405" i="39"/>
  <c r="L28" i="15" s="1"/>
  <c r="M28" i="15" s="1"/>
  <c r="E405" i="39"/>
  <c r="D405" i="39"/>
  <c r="G404" i="39"/>
  <c r="H404" i="39" s="1"/>
  <c r="I393" i="39"/>
  <c r="F393" i="39"/>
  <c r="E393" i="39"/>
  <c r="K27" i="15" s="1"/>
  <c r="M27" i="15" s="1"/>
  <c r="D393" i="39"/>
  <c r="G392" i="39"/>
  <c r="H392" i="39" s="1"/>
  <c r="I381" i="39"/>
  <c r="F381" i="39"/>
  <c r="E381" i="39"/>
  <c r="K26" i="15" s="1"/>
  <c r="D381" i="39"/>
  <c r="G380" i="39"/>
  <c r="H380" i="39" s="1"/>
  <c r="I369" i="39"/>
  <c r="E369" i="39"/>
  <c r="K25" i="15" s="1"/>
  <c r="D369" i="39"/>
  <c r="J362" i="39"/>
  <c r="I350" i="39"/>
  <c r="L24" i="15"/>
  <c r="E350" i="39"/>
  <c r="K24" i="15" s="1"/>
  <c r="D350" i="39"/>
  <c r="J348" i="39"/>
  <c r="J347" i="39"/>
  <c r="G346" i="39"/>
  <c r="I335" i="39"/>
  <c r="L23" i="15"/>
  <c r="E335" i="39"/>
  <c r="K23" i="15" s="1"/>
  <c r="D335" i="39"/>
  <c r="J333" i="39"/>
  <c r="J332" i="39"/>
  <c r="G331" i="39"/>
  <c r="I320" i="39"/>
  <c r="L22" i="15"/>
  <c r="E320" i="39"/>
  <c r="K22" i="15" s="1"/>
  <c r="M22" i="15" s="1"/>
  <c r="D320" i="39"/>
  <c r="J318" i="39"/>
  <c r="J317" i="39"/>
  <c r="G316" i="39"/>
  <c r="I305" i="39"/>
  <c r="F305" i="39"/>
  <c r="L21" i="15" s="1"/>
  <c r="E305" i="39"/>
  <c r="K21" i="15" s="1"/>
  <c r="D305" i="39"/>
  <c r="J303" i="39"/>
  <c r="J302" i="39"/>
  <c r="G301" i="39"/>
  <c r="I290" i="39"/>
  <c r="E290" i="39"/>
  <c r="K20" i="15" s="1"/>
  <c r="D290" i="39"/>
  <c r="J289" i="39"/>
  <c r="J288" i="39"/>
  <c r="G286" i="39"/>
  <c r="I275" i="39"/>
  <c r="L19" i="15"/>
  <c r="E275" i="39"/>
  <c r="K19" i="15" s="1"/>
  <c r="M19" i="15" s="1"/>
  <c r="D275" i="39"/>
  <c r="J258" i="39"/>
  <c r="J256" i="39"/>
  <c r="G253" i="39"/>
  <c r="J253" i="39" s="1"/>
  <c r="Q38" i="15" l="1"/>
  <c r="R38" i="15" s="1"/>
  <c r="H14" i="23"/>
  <c r="M21" i="15"/>
  <c r="P21" i="15" s="1"/>
  <c r="D34" i="38"/>
  <c r="P36" i="15"/>
  <c r="Q36" i="15"/>
  <c r="R36" i="15" s="1"/>
  <c r="D17" i="38"/>
  <c r="P19" i="15"/>
  <c r="Q19" i="15"/>
  <c r="R19" i="15" s="1"/>
  <c r="D20" i="38"/>
  <c r="P22" i="15"/>
  <c r="Q22" i="15"/>
  <c r="R22" i="15" s="1"/>
  <c r="D25" i="38"/>
  <c r="P27" i="15"/>
  <c r="Q27" i="15"/>
  <c r="R27" i="15" s="1"/>
  <c r="D26" i="38"/>
  <c r="P28" i="15"/>
  <c r="Q28" i="15"/>
  <c r="R28" i="15" s="1"/>
  <c r="D32" i="38"/>
  <c r="P34" i="15"/>
  <c r="Q34" i="15"/>
  <c r="R34" i="15" s="1"/>
  <c r="M24" i="15"/>
  <c r="D34" i="8"/>
  <c r="M32" i="15"/>
  <c r="M31" i="15"/>
  <c r="M23" i="15"/>
  <c r="H346" i="39"/>
  <c r="J346" i="39"/>
  <c r="H331" i="39"/>
  <c r="J331" i="39"/>
  <c r="D35" i="8"/>
  <c r="L33" i="15"/>
  <c r="M33" i="15" s="1"/>
  <c r="H316" i="39"/>
  <c r="J316" i="39"/>
  <c r="H491" i="39"/>
  <c r="J491" i="39"/>
  <c r="L26" i="15"/>
  <c r="E34" i="8" s="1"/>
  <c r="H286" i="39"/>
  <c r="J286" i="39"/>
  <c r="H301" i="39"/>
  <c r="J301" i="39"/>
  <c r="E14" i="23"/>
  <c r="E35" i="8"/>
  <c r="H473" i="39"/>
  <c r="J473" i="39"/>
  <c r="L20" i="15"/>
  <c r="M20" i="15" s="1"/>
  <c r="J583" i="39"/>
  <c r="J529" i="39"/>
  <c r="H553" i="39"/>
  <c r="J553" i="39"/>
  <c r="H509" i="39"/>
  <c r="J509" i="39"/>
  <c r="G462" i="39"/>
  <c r="H455" i="39"/>
  <c r="G393" i="39"/>
  <c r="H393" i="39" s="1"/>
  <c r="J492" i="39"/>
  <c r="H454" i="39"/>
  <c r="G493" i="39"/>
  <c r="H493" i="39" s="1"/>
  <c r="G480" i="39"/>
  <c r="H480" i="39" s="1"/>
  <c r="H456" i="39"/>
  <c r="G417" i="39"/>
  <c r="H417" i="39" s="1"/>
  <c r="G405" i="39"/>
  <c r="H405" i="39" s="1"/>
  <c r="G381" i="39"/>
  <c r="H381" i="39" s="1"/>
  <c r="J334" i="39"/>
  <c r="J349" i="39"/>
  <c r="G350" i="39"/>
  <c r="H350" i="39" s="1"/>
  <c r="G335" i="39"/>
  <c r="H335" i="39" s="1"/>
  <c r="J319" i="39"/>
  <c r="G320" i="39"/>
  <c r="H320" i="39" s="1"/>
  <c r="J304" i="39"/>
  <c r="G305" i="39"/>
  <c r="H305" i="39" s="1"/>
  <c r="J287" i="39"/>
  <c r="G290" i="39"/>
  <c r="H290" i="39" s="1"/>
  <c r="J254" i="39"/>
  <c r="J255" i="39"/>
  <c r="G275" i="39"/>
  <c r="H275" i="39" s="1"/>
  <c r="J259" i="39"/>
  <c r="H253" i="39"/>
  <c r="J257" i="39"/>
  <c r="I242" i="39"/>
  <c r="E242" i="39"/>
  <c r="K18" i="15" s="1"/>
  <c r="D242" i="39"/>
  <c r="J241" i="39"/>
  <c r="J234" i="39"/>
  <c r="J233" i="39"/>
  <c r="J232" i="39"/>
  <c r="J229" i="39"/>
  <c r="G228" i="39"/>
  <c r="I217" i="39"/>
  <c r="F217" i="39"/>
  <c r="L17" i="15" s="1"/>
  <c r="M17" i="15" s="1"/>
  <c r="E217" i="39"/>
  <c r="D217" i="39"/>
  <c r="J216" i="39"/>
  <c r="J214" i="39"/>
  <c r="J213" i="39"/>
  <c r="J212" i="39"/>
  <c r="G211" i="39"/>
  <c r="M26" i="15" l="1"/>
  <c r="H8" i="23" s="1"/>
  <c r="I14" i="23"/>
  <c r="Q21" i="15"/>
  <c r="R21" i="15" s="1"/>
  <c r="D19" i="38"/>
  <c r="D31" i="38"/>
  <c r="Q33" i="15"/>
  <c r="P33" i="15"/>
  <c r="D30" i="38"/>
  <c r="P32" i="15"/>
  <c r="Q32" i="15"/>
  <c r="R32" i="15" s="1"/>
  <c r="D15" i="38"/>
  <c r="Q17" i="15"/>
  <c r="R17" i="15" s="1"/>
  <c r="P17" i="15"/>
  <c r="D18" i="38"/>
  <c r="P20" i="15"/>
  <c r="Q20" i="15"/>
  <c r="R20" i="15" s="1"/>
  <c r="D21" i="38"/>
  <c r="P23" i="15"/>
  <c r="Q23" i="15"/>
  <c r="R23" i="15" s="1"/>
  <c r="D22" i="38"/>
  <c r="P24" i="15"/>
  <c r="Q24" i="15"/>
  <c r="R24" i="15" s="1"/>
  <c r="D29" i="38"/>
  <c r="P31" i="15"/>
  <c r="Q31" i="15"/>
  <c r="R31" i="15" s="1"/>
  <c r="H462" i="39"/>
  <c r="H211" i="39"/>
  <c r="J211" i="39"/>
  <c r="H228" i="39"/>
  <c r="J228" i="39"/>
  <c r="L18" i="15"/>
  <c r="M18" i="15" s="1"/>
  <c r="J462" i="39"/>
  <c r="J393" i="39"/>
  <c r="J493" i="39"/>
  <c r="J417" i="39"/>
  <c r="J480" i="39"/>
  <c r="J405" i="39"/>
  <c r="J381" i="39"/>
  <c r="J305" i="39"/>
  <c r="J320" i="39"/>
  <c r="J350" i="39"/>
  <c r="J335" i="39"/>
  <c r="J290" i="39"/>
  <c r="J275" i="39"/>
  <c r="J231" i="39"/>
  <c r="G242" i="39"/>
  <c r="H242" i="39" s="1"/>
  <c r="J230" i="39"/>
  <c r="J215" i="39"/>
  <c r="G217" i="39"/>
  <c r="H217" i="39" s="1"/>
  <c r="I200" i="39"/>
  <c r="E200" i="39"/>
  <c r="K16" i="15" s="1"/>
  <c r="M16" i="15" s="1"/>
  <c r="D200" i="39"/>
  <c r="J180" i="39"/>
  <c r="J177" i="39"/>
  <c r="J176" i="39"/>
  <c r="G174" i="39"/>
  <c r="J174" i="39" s="1"/>
  <c r="I163" i="39"/>
  <c r="E163" i="39"/>
  <c r="K15" i="15" s="1"/>
  <c r="M15" i="15" s="1"/>
  <c r="D163" i="39"/>
  <c r="J162" i="39"/>
  <c r="J158" i="39"/>
  <c r="J156" i="39"/>
  <c r="G155" i="39"/>
  <c r="I144" i="39"/>
  <c r="E144" i="39"/>
  <c r="K14" i="15" s="1"/>
  <c r="M14" i="15" s="1"/>
  <c r="D144" i="39"/>
  <c r="J143" i="39"/>
  <c r="J142" i="39"/>
  <c r="J141" i="39"/>
  <c r="J139" i="39"/>
  <c r="J138" i="39"/>
  <c r="J137" i="39"/>
  <c r="J135" i="39"/>
  <c r="J134" i="39"/>
  <c r="G133" i="39"/>
  <c r="I122" i="39"/>
  <c r="L13" i="15"/>
  <c r="E122" i="39"/>
  <c r="K13" i="15" s="1"/>
  <c r="D122" i="39"/>
  <c r="J111" i="39"/>
  <c r="J110" i="39"/>
  <c r="J109" i="39"/>
  <c r="J107" i="39"/>
  <c r="J106" i="39"/>
  <c r="J104" i="39"/>
  <c r="J103" i="39"/>
  <c r="J102" i="39"/>
  <c r="G101" i="39"/>
  <c r="I90" i="39"/>
  <c r="F90" i="39"/>
  <c r="E90" i="39"/>
  <c r="D90" i="39"/>
  <c r="G89" i="39"/>
  <c r="J89" i="39" s="1"/>
  <c r="I78" i="39"/>
  <c r="L11" i="15"/>
  <c r="E78" i="39"/>
  <c r="K11" i="15" s="1"/>
  <c r="D78" i="39"/>
  <c r="J73" i="39"/>
  <c r="J72" i="39"/>
  <c r="J71" i="39"/>
  <c r="J69" i="39"/>
  <c r="J68" i="39"/>
  <c r="J65" i="39"/>
  <c r="J64" i="39"/>
  <c r="J63" i="39"/>
  <c r="G62" i="39"/>
  <c r="D14" i="38" l="1"/>
  <c r="P16" i="15"/>
  <c r="Q16" i="15"/>
  <c r="R16" i="15" s="1"/>
  <c r="D16" i="38"/>
  <c r="P18" i="15"/>
  <c r="Q18" i="15"/>
  <c r="R18" i="15" s="1"/>
  <c r="D12" i="38"/>
  <c r="P14" i="15"/>
  <c r="Q14" i="15"/>
  <c r="R14" i="15" s="1"/>
  <c r="D24" i="38"/>
  <c r="P26" i="15"/>
  <c r="Q26" i="15"/>
  <c r="R26" i="15" s="1"/>
  <c r="D13" i="38"/>
  <c r="P15" i="15"/>
  <c r="Q15" i="15"/>
  <c r="R15" i="15" s="1"/>
  <c r="M11" i="15"/>
  <c r="M13" i="15"/>
  <c r="H62" i="39"/>
  <c r="J62" i="39"/>
  <c r="H101" i="39"/>
  <c r="J101" i="39"/>
  <c r="H133" i="39"/>
  <c r="J133" i="39"/>
  <c r="H155" i="39"/>
  <c r="J155" i="39"/>
  <c r="J242" i="39"/>
  <c r="J217" i="39"/>
  <c r="J178" i="39"/>
  <c r="J175" i="39"/>
  <c r="J136" i="39"/>
  <c r="G200" i="39"/>
  <c r="H200" i="39" s="1"/>
  <c r="J179" i="39"/>
  <c r="H174" i="39"/>
  <c r="J160" i="39"/>
  <c r="J161" i="39"/>
  <c r="J157" i="39"/>
  <c r="J159" i="39"/>
  <c r="G163" i="39"/>
  <c r="H163" i="39" s="1"/>
  <c r="J140" i="39"/>
  <c r="G144" i="39"/>
  <c r="H144" i="39" s="1"/>
  <c r="J108" i="39"/>
  <c r="J105" i="39"/>
  <c r="G122" i="39"/>
  <c r="H122" i="39" s="1"/>
  <c r="H89" i="39"/>
  <c r="G90" i="39"/>
  <c r="H90" i="39" s="1"/>
  <c r="J66" i="39"/>
  <c r="J70" i="39"/>
  <c r="G78" i="39"/>
  <c r="D9" i="38" l="1"/>
  <c r="P11" i="15"/>
  <c r="Q11" i="15"/>
  <c r="R11" i="15" s="1"/>
  <c r="D11" i="38"/>
  <c r="Q13" i="15"/>
  <c r="R13" i="15" s="1"/>
  <c r="P13" i="15"/>
  <c r="J78" i="39"/>
  <c r="H78" i="39"/>
  <c r="J200" i="39"/>
  <c r="J163" i="39"/>
  <c r="J144" i="39"/>
  <c r="J122" i="39"/>
  <c r="J90" i="39"/>
  <c r="J35" i="39" l="1"/>
  <c r="J36" i="39"/>
  <c r="J32" i="39"/>
  <c r="J29" i="39"/>
  <c r="I51" i="39"/>
  <c r="E51" i="39"/>
  <c r="K10" i="15" s="1"/>
  <c r="D51" i="39"/>
  <c r="J15" i="39"/>
  <c r="J34" i="39" l="1"/>
  <c r="J38" i="39"/>
  <c r="J30" i="39"/>
  <c r="J33" i="39"/>
  <c r="J31" i="39"/>
  <c r="J39" i="39"/>
  <c r="J37" i="39"/>
  <c r="O7" i="38" l="1"/>
  <c r="F35" i="8"/>
  <c r="L35" i="8" s="1"/>
  <c r="F34" i="8"/>
  <c r="F27" i="8"/>
  <c r="F26" i="8"/>
  <c r="F19" i="8"/>
  <c r="L19" i="8" s="1"/>
  <c r="F20" i="8"/>
  <c r="L20" i="8" s="1"/>
  <c r="F21" i="8"/>
  <c r="L21" i="8" s="1"/>
  <c r="F22" i="8"/>
  <c r="F23" i="8"/>
  <c r="F24" i="8"/>
  <c r="F18" i="8"/>
  <c r="L18" i="8" s="1"/>
  <c r="F16" i="8"/>
  <c r="L16" i="8" s="1"/>
  <c r="F15" i="8"/>
  <c r="L15" i="8" s="1"/>
  <c r="E17" i="39"/>
  <c r="F17" i="39"/>
  <c r="L9" i="15" s="1"/>
  <c r="I17" i="39"/>
  <c r="D17" i="39"/>
  <c r="J10" i="39"/>
  <c r="J11" i="39"/>
  <c r="J13" i="39"/>
  <c r="J14" i="39"/>
  <c r="J16" i="39"/>
  <c r="G9" i="39"/>
  <c r="H9" i="39" s="1"/>
  <c r="N48" i="15"/>
  <c r="K9" i="15" l="1"/>
  <c r="J12" i="39"/>
  <c r="G17" i="39"/>
  <c r="H17" i="39" s="1"/>
  <c r="O8" i="38"/>
  <c r="Q8" i="38" s="1"/>
  <c r="O9" i="38"/>
  <c r="Q9" i="38" s="1"/>
  <c r="O10" i="38"/>
  <c r="Q10" i="38" s="1"/>
  <c r="O11" i="38"/>
  <c r="Q11" i="38" s="1"/>
  <c r="O12" i="38"/>
  <c r="Q12" i="38" s="1"/>
  <c r="O13" i="38"/>
  <c r="Q13" i="38" s="1"/>
  <c r="O14" i="38"/>
  <c r="Q14" i="38" s="1"/>
  <c r="O15" i="38"/>
  <c r="Q15" i="38" s="1"/>
  <c r="O16" i="38"/>
  <c r="Q16" i="38" s="1"/>
  <c r="O17" i="38"/>
  <c r="Q17" i="38" s="1"/>
  <c r="O18" i="38"/>
  <c r="Q18" i="38" s="1"/>
  <c r="O19" i="38"/>
  <c r="Q19" i="38" s="1"/>
  <c r="O20" i="38"/>
  <c r="Q20" i="38" s="1"/>
  <c r="O21" i="38"/>
  <c r="Q21" i="38" s="1"/>
  <c r="O22" i="38"/>
  <c r="Q22" i="38" s="1"/>
  <c r="O23" i="38"/>
  <c r="Q24" i="38"/>
  <c r="Q25" i="38"/>
  <c r="Q26" i="38"/>
  <c r="O27" i="38"/>
  <c r="Q27" i="38" s="1"/>
  <c r="O28" i="38"/>
  <c r="Q28" i="38" s="1"/>
  <c r="O29" i="38"/>
  <c r="Q29" i="38" s="1"/>
  <c r="O30" i="38"/>
  <c r="Q30" i="38" s="1"/>
  <c r="O31" i="38"/>
  <c r="Q31" i="38" s="1"/>
  <c r="O32" i="38"/>
  <c r="Q32" i="38" s="1"/>
  <c r="O33" i="38"/>
  <c r="Q33" i="38" s="1"/>
  <c r="O34" i="38"/>
  <c r="Q34" i="38" s="1"/>
  <c r="S34" i="38" s="1"/>
  <c r="O35" i="38"/>
  <c r="Q35" i="38" s="1"/>
  <c r="O36" i="38"/>
  <c r="Q36" i="38" s="1"/>
  <c r="O37" i="38"/>
  <c r="Q37" i="38" s="1"/>
  <c r="O38" i="38"/>
  <c r="Q38" i="38" s="1"/>
  <c r="O39" i="38"/>
  <c r="Q39" i="38" s="1"/>
  <c r="O40" i="38"/>
  <c r="Q40" i="38" s="1"/>
  <c r="F48" i="38"/>
  <c r="Q7" i="38"/>
  <c r="P6" i="23"/>
  <c r="B57" i="8"/>
  <c r="O46" i="38" l="1"/>
  <c r="D33" i="8"/>
  <c r="K48" i="15"/>
  <c r="M9" i="15"/>
  <c r="S19" i="38"/>
  <c r="S11" i="38"/>
  <c r="S18" i="38"/>
  <c r="S10" i="38"/>
  <c r="S25" i="38"/>
  <c r="S16" i="38"/>
  <c r="S12" i="38"/>
  <c r="S27" i="38"/>
  <c r="Q23" i="38"/>
  <c r="Q46" i="38" s="1"/>
  <c r="F45" i="8"/>
  <c r="J17" i="39"/>
  <c r="S20" i="38"/>
  <c r="S17" i="38"/>
  <c r="S9" i="38"/>
  <c r="S39" i="38"/>
  <c r="S37" i="38"/>
  <c r="S29" i="38"/>
  <c r="S21" i="38"/>
  <c r="S13" i="38"/>
  <c r="S14" i="38"/>
  <c r="S33" i="38"/>
  <c r="S31" i="38"/>
  <c r="S15" i="38"/>
  <c r="S22" i="38"/>
  <c r="S24" i="38"/>
  <c r="S26" i="38"/>
  <c r="S30" i="38"/>
  <c r="S32" i="38"/>
  <c r="S36" i="38"/>
  <c r="S40" i="38"/>
  <c r="N15" i="23"/>
  <c r="Q15" i="23" s="1"/>
  <c r="N12" i="23"/>
  <c r="Q12" i="23" s="1"/>
  <c r="F25" i="8"/>
  <c r="E25" i="8"/>
  <c r="D25" i="8"/>
  <c r="C25" i="8"/>
  <c r="J25" i="8" s="1"/>
  <c r="C17" i="8"/>
  <c r="J17" i="8" s="1"/>
  <c r="F44" i="8" l="1"/>
  <c r="B50" i="8"/>
  <c r="H16" i="23"/>
  <c r="D7" i="38"/>
  <c r="R39" i="38"/>
  <c r="R44" i="38"/>
  <c r="R45" i="38"/>
  <c r="R41" i="38"/>
  <c r="R43" i="38"/>
  <c r="R42" i="38"/>
  <c r="P9" i="15"/>
  <c r="E16" i="23"/>
  <c r="Q9" i="15"/>
  <c r="R9" i="15" s="1"/>
  <c r="C49" i="8"/>
  <c r="C51" i="8" s="1"/>
  <c r="R8" i="38"/>
  <c r="R9" i="38"/>
  <c r="R27" i="38"/>
  <c r="R13" i="38"/>
  <c r="O47" i="38"/>
  <c r="R17" i="38"/>
  <c r="R26" i="38"/>
  <c r="R35" i="38"/>
  <c r="R21" i="38"/>
  <c r="R34" i="38"/>
  <c r="R7" i="38"/>
  <c r="R29" i="38"/>
  <c r="R23" i="38"/>
  <c r="R16" i="38"/>
  <c r="R25" i="38"/>
  <c r="R22" i="38"/>
  <c r="R30" i="38"/>
  <c r="R37" i="38"/>
  <c r="R24" i="38"/>
  <c r="R33" i="38"/>
  <c r="R11" i="38"/>
  <c r="R12" i="38"/>
  <c r="R14" i="38"/>
  <c r="R32" i="38"/>
  <c r="R10" i="38"/>
  <c r="R20" i="38"/>
  <c r="R15" i="38"/>
  <c r="R40" i="38"/>
  <c r="R19" i="38"/>
  <c r="R28" i="38"/>
  <c r="R31" i="38"/>
  <c r="R38" i="38"/>
  <c r="R18" i="38"/>
  <c r="R36" i="38"/>
  <c r="N47" i="38"/>
  <c r="M47" i="38"/>
  <c r="G47" i="38"/>
  <c r="H47" i="38"/>
  <c r="P47" i="38"/>
  <c r="L47" i="38"/>
  <c r="I47" i="38"/>
  <c r="Q47" i="38"/>
  <c r="J47" i="38"/>
  <c r="F47" i="38"/>
  <c r="K47" i="38"/>
  <c r="C33" i="8"/>
  <c r="I16" i="23" l="1"/>
  <c r="S7" i="38"/>
  <c r="R46" i="38"/>
  <c r="P14" i="23" l="1"/>
  <c r="P5" i="23"/>
  <c r="F24" i="23"/>
  <c r="F22" i="23"/>
  <c r="F16" i="23"/>
  <c r="F14" i="23"/>
  <c r="E32" i="8"/>
  <c r="G16" i="8"/>
  <c r="G18" i="8"/>
  <c r="G19" i="8"/>
  <c r="G20" i="8"/>
  <c r="G21" i="8"/>
  <c r="G22" i="8"/>
  <c r="G23" i="8"/>
  <c r="G24" i="8"/>
  <c r="G26" i="8"/>
  <c r="G27" i="8"/>
  <c r="G29" i="8"/>
  <c r="G34" i="8"/>
  <c r="H34" i="8" s="1"/>
  <c r="G35" i="8"/>
  <c r="G36" i="8"/>
  <c r="G15" i="8"/>
  <c r="D32" i="8"/>
  <c r="C32" i="8"/>
  <c r="C31" i="8"/>
  <c r="F32" i="8" l="1"/>
  <c r="O12" i="23"/>
  <c r="S12" i="23" s="1"/>
  <c r="E8" i="23"/>
  <c r="I8" i="23" s="1"/>
  <c r="D8" i="23"/>
  <c r="G8" i="23" s="1"/>
  <c r="E6" i="23"/>
  <c r="D6" i="23"/>
  <c r="G6" i="23" s="1"/>
  <c r="F8" i="23" l="1"/>
  <c r="F6" i="23"/>
  <c r="O15" i="23" l="1"/>
  <c r="S15" i="23" s="1"/>
  <c r="E46" i="8"/>
  <c r="H36" i="8"/>
  <c r="H35" i="8"/>
  <c r="D30" i="8"/>
  <c r="C30" i="8"/>
  <c r="C37" i="8" s="1"/>
  <c r="H27" i="8"/>
  <c r="H26" i="8"/>
  <c r="B45" i="8"/>
  <c r="H24" i="8"/>
  <c r="H23" i="8"/>
  <c r="H22" i="8"/>
  <c r="H21" i="8"/>
  <c r="H20" i="8"/>
  <c r="H19" i="8"/>
  <c r="H18" i="8"/>
  <c r="F17" i="8"/>
  <c r="L17" i="8" s="1"/>
  <c r="E17" i="8"/>
  <c r="D17" i="8"/>
  <c r="H16" i="8"/>
  <c r="H15" i="8"/>
  <c r="F14" i="8"/>
  <c r="L14" i="8" s="1"/>
  <c r="E14" i="8"/>
  <c r="D14" i="8"/>
  <c r="C14" i="8"/>
  <c r="J14" i="8" s="1"/>
  <c r="D37" i="8" l="1"/>
  <c r="D40" i="8" s="1"/>
  <c r="C40" i="8"/>
  <c r="G17" i="8"/>
  <c r="H17" i="8" s="1"/>
  <c r="P12" i="23"/>
  <c r="P15" i="23"/>
  <c r="G25" i="8"/>
  <c r="H25" i="8" s="1"/>
  <c r="C45" i="8"/>
  <c r="D45" i="8" s="1"/>
  <c r="G14" i="8"/>
  <c r="H14" i="8" s="1"/>
  <c r="D13" i="8"/>
  <c r="D12" i="8" s="1"/>
  <c r="E13" i="8"/>
  <c r="E12" i="8" s="1"/>
  <c r="C13" i="8"/>
  <c r="J13" i="8" s="1"/>
  <c r="F13" i="8"/>
  <c r="L13" i="8" s="1"/>
  <c r="E11" i="8" l="1"/>
  <c r="E28" i="8" s="1"/>
  <c r="D11" i="8"/>
  <c r="D28" i="8" s="1"/>
  <c r="D38" i="8" s="1"/>
  <c r="G45" i="8"/>
  <c r="F12" i="8"/>
  <c r="C12" i="8"/>
  <c r="G13" i="8"/>
  <c r="H13" i="8" s="1"/>
  <c r="H5" i="23" l="1"/>
  <c r="H9" i="23" s="1"/>
  <c r="L12" i="8"/>
  <c r="D5" i="23"/>
  <c r="G5" i="23" s="1"/>
  <c r="J12" i="8"/>
  <c r="F11" i="8"/>
  <c r="E5" i="23"/>
  <c r="D50" i="8"/>
  <c r="G44" i="8"/>
  <c r="F46" i="8"/>
  <c r="G46" i="8" s="1"/>
  <c r="G12" i="8"/>
  <c r="H12" i="8" s="1"/>
  <c r="C11" i="8"/>
  <c r="D7" i="23"/>
  <c r="G32" i="8"/>
  <c r="H32" i="8" s="1"/>
  <c r="B49" i="8" l="1"/>
  <c r="R7" i="23"/>
  <c r="O7" i="23"/>
  <c r="F79" i="36" s="1"/>
  <c r="H77" i="36"/>
  <c r="L11" i="8"/>
  <c r="H25" i="23"/>
  <c r="H19" i="23"/>
  <c r="H23" i="23"/>
  <c r="H15" i="23"/>
  <c r="H17" i="23"/>
  <c r="E7" i="23"/>
  <c r="E9" i="23" s="1"/>
  <c r="I9" i="23" s="1"/>
  <c r="I5" i="23"/>
  <c r="B44" i="8"/>
  <c r="J11" i="8"/>
  <c r="D9" i="23"/>
  <c r="D13" i="23" s="1"/>
  <c r="G13" i="23" s="1"/>
  <c r="G7" i="23"/>
  <c r="F28" i="8"/>
  <c r="C28" i="8"/>
  <c r="C44" i="8"/>
  <c r="C46" i="8" s="1"/>
  <c r="F5" i="23"/>
  <c r="G11" i="8"/>
  <c r="H11" i="8" s="1"/>
  <c r="N7" i="23"/>
  <c r="Q7" i="23" s="1"/>
  <c r="F7" i="23" l="1"/>
  <c r="S7" i="23"/>
  <c r="R13" i="23"/>
  <c r="H79" i="36"/>
  <c r="D23" i="23"/>
  <c r="G23" i="23" s="1"/>
  <c r="D25" i="23"/>
  <c r="G25" i="23" s="1"/>
  <c r="D21" i="23"/>
  <c r="G21" i="23" s="1"/>
  <c r="C38" i="8"/>
  <c r="J28" i="8"/>
  <c r="D17" i="23"/>
  <c r="G17" i="23" s="1"/>
  <c r="D15" i="23"/>
  <c r="G15" i="23" s="1"/>
  <c r="F9" i="23"/>
  <c r="B46" i="8"/>
  <c r="D19" i="23"/>
  <c r="G19" i="23" s="1"/>
  <c r="G9" i="23"/>
  <c r="I24" i="8"/>
  <c r="I19" i="8"/>
  <c r="I20" i="8"/>
  <c r="I15" i="8"/>
  <c r="I12" i="8"/>
  <c r="I18" i="8"/>
  <c r="I16" i="8"/>
  <c r="I27" i="8"/>
  <c r="I28" i="8"/>
  <c r="I23" i="8"/>
  <c r="I22" i="8"/>
  <c r="I14" i="8"/>
  <c r="I11" i="8"/>
  <c r="I25" i="8"/>
  <c r="I17" i="8"/>
  <c r="N13" i="23"/>
  <c r="Q13" i="23" s="1"/>
  <c r="I13" i="8"/>
  <c r="I21" i="8"/>
  <c r="I26" i="8"/>
  <c r="O13" i="23"/>
  <c r="P7" i="23"/>
  <c r="D49" i="8"/>
  <c r="D51" i="8" s="1"/>
  <c r="B51" i="8"/>
  <c r="P48" i="38" s="1"/>
  <c r="G28" i="8"/>
  <c r="D44" i="8"/>
  <c r="E17" i="23"/>
  <c r="I17" i="23" s="1"/>
  <c r="E23" i="23"/>
  <c r="E25" i="23"/>
  <c r="I25" i="23" s="1"/>
  <c r="E15" i="23"/>
  <c r="I15" i="23" s="1"/>
  <c r="S13" i="23" l="1"/>
  <c r="F23" i="23"/>
  <c r="I23" i="23"/>
  <c r="F17" i="23"/>
  <c r="F15" i="23"/>
  <c r="F25" i="23"/>
  <c r="D46" i="8"/>
  <c r="H28" i="8"/>
  <c r="P13" i="23"/>
  <c r="G699" i="39"/>
  <c r="H699" i="39" s="1"/>
  <c r="F18" i="23" l="1"/>
  <c r="E19" i="23"/>
  <c r="G700" i="39"/>
  <c r="J700" i="39" s="1"/>
  <c r="F19" i="23" l="1"/>
  <c r="I19" i="23"/>
  <c r="H700" i="39"/>
  <c r="J565" i="39" l="1"/>
  <c r="L37" i="15"/>
  <c r="M37" i="15" s="1"/>
  <c r="H12" i="23" s="1"/>
  <c r="H13" i="23" l="1"/>
  <c r="D35" i="38"/>
  <c r="S35" i="38" s="1"/>
  <c r="Q37" i="15"/>
  <c r="R37" i="15" s="1"/>
  <c r="P37" i="15"/>
  <c r="E12" i="23"/>
  <c r="I12" i="23" s="1"/>
  <c r="G570" i="39"/>
  <c r="F12" i="23" l="1"/>
  <c r="E13" i="23"/>
  <c r="F13" i="23" s="1"/>
  <c r="J570" i="39"/>
  <c r="H570" i="39"/>
  <c r="I13" i="23" l="1"/>
  <c r="G28" i="39"/>
  <c r="F51" i="39"/>
  <c r="H28" i="39" l="1"/>
  <c r="J28" i="39"/>
  <c r="L10" i="15"/>
  <c r="M10" i="15" s="1"/>
  <c r="G51" i="39"/>
  <c r="D8" i="38" l="1"/>
  <c r="S8" i="38" s="1"/>
  <c r="P10" i="15"/>
  <c r="Q10" i="15"/>
  <c r="R10" i="15" s="1"/>
  <c r="J51" i="39"/>
  <c r="H51" i="39"/>
  <c r="F443" i="39" l="1"/>
  <c r="G361" i="39" l="1"/>
  <c r="G429" i="39"/>
  <c r="J429" i="39" l="1"/>
  <c r="H429" i="39"/>
  <c r="G443" i="39"/>
  <c r="L30" i="15"/>
  <c r="M30" i="15" s="1"/>
  <c r="J361" i="39"/>
  <c r="H361" i="39"/>
  <c r="E20" i="23" l="1"/>
  <c r="H20" i="23"/>
  <c r="D28" i="38"/>
  <c r="S28" i="38" s="1"/>
  <c r="P30" i="15"/>
  <c r="Q30" i="15"/>
  <c r="R30" i="15" s="1"/>
  <c r="H443" i="39"/>
  <c r="J443" i="39"/>
  <c r="H21" i="23" l="1"/>
  <c r="I20" i="23"/>
  <c r="F20" i="23"/>
  <c r="E21" i="23"/>
  <c r="F21" i="23" s="1"/>
  <c r="I21" i="23" l="1"/>
  <c r="G606" i="39"/>
  <c r="G610" i="39" s="1"/>
  <c r="F610" i="39"/>
  <c r="H610" i="39" l="1"/>
  <c r="J610" i="39"/>
  <c r="J606" i="39"/>
  <c r="L40" i="15"/>
  <c r="H606" i="39"/>
  <c r="M40" i="15" l="1"/>
  <c r="E31" i="8"/>
  <c r="D38" i="38" l="1"/>
  <c r="S38" i="38" s="1"/>
  <c r="P40" i="15"/>
  <c r="Q40" i="15"/>
  <c r="R40" i="15" s="1"/>
  <c r="F31" i="8"/>
  <c r="L31" i="8" s="1"/>
  <c r="G31" i="8" l="1"/>
  <c r="H31" i="8" s="1"/>
  <c r="G363" i="39"/>
  <c r="H363" i="39" l="1"/>
  <c r="J363" i="39"/>
  <c r="G369" i="39"/>
  <c r="F369" i="39"/>
  <c r="H369" i="39" l="1"/>
  <c r="J369" i="39"/>
  <c r="L25" i="15"/>
  <c r="M25" i="15" l="1"/>
  <c r="K33" i="8" s="1"/>
  <c r="L33" i="8" s="1"/>
  <c r="L48" i="15"/>
  <c r="E33" i="8"/>
  <c r="F33" i="8" s="1"/>
  <c r="Q25" i="15" l="1"/>
  <c r="R25" i="15" s="1"/>
  <c r="P25" i="15"/>
  <c r="P48" i="15" s="1"/>
  <c r="M48" i="15"/>
  <c r="D23" i="38"/>
  <c r="D46" i="38" s="1"/>
  <c r="E30" i="8"/>
  <c r="E37" i="8" s="1"/>
  <c r="E40" i="8" s="1"/>
  <c r="G33" i="8"/>
  <c r="H33" i="8" s="1"/>
  <c r="F30" i="8"/>
  <c r="S46" i="38" l="1"/>
  <c r="Q48" i="38"/>
  <c r="Q48" i="15"/>
  <c r="R48" i="15" s="1"/>
  <c r="S23" i="38"/>
  <c r="E38" i="8"/>
  <c r="F37" i="8"/>
  <c r="I30" i="8" s="1"/>
  <c r="G30" i="8"/>
  <c r="H30" i="8" s="1"/>
  <c r="I37" i="8" l="1"/>
  <c r="F38" i="8"/>
  <c r="G38" i="8" s="1"/>
  <c r="I34" i="8"/>
  <c r="I35" i="8"/>
  <c r="F40" i="8"/>
  <c r="I31" i="8"/>
  <c r="I32" i="8"/>
  <c r="I36" i="8"/>
  <c r="G37" i="8"/>
  <c r="H37" i="8" s="1"/>
  <c r="I33" i="8"/>
  <c r="D48" i="38"/>
  <c r="J33" i="8" l="1"/>
  <c r="J32" i="8"/>
  <c r="J31" i="8"/>
  <c r="J30" i="8" l="1"/>
  <c r="J37" i="8" l="1"/>
  <c r="J38" i="8"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Marcos Cristino</author>
  </authors>
  <commentList>
    <comment ref="AH15" authorId="0" shapeId="0" xr:uid="{00000000-0006-0000-0100-000001000000}">
      <text>
        <r>
          <rPr>
            <b/>
            <sz val="9"/>
            <color indexed="81"/>
            <rFont val="Segoe UI"/>
            <family val="2"/>
          </rPr>
          <t>Marcos Cristino:</t>
        </r>
        <r>
          <rPr>
            <sz val="9"/>
            <color indexed="81"/>
            <rFont val="Segoe UI"/>
            <family val="2"/>
          </rPr>
          <t xml:space="preserve">
Valor apenas do Ressarcimento de Taxas Bancárias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Gustavo Milhomem Brito Menezes</author>
    <author>Flavia Rios Costa</author>
    <author>Tania Mara Chaves Daldegan</author>
  </authors>
  <commentList>
    <comment ref="A7" authorId="0" shapeId="0" xr:uid="{00000000-0006-0000-0500-000001000000}">
      <text>
        <r>
          <rPr>
            <b/>
            <sz val="12"/>
            <color indexed="81"/>
            <rFont val="Tahoma"/>
            <family val="2"/>
          </rPr>
          <t>Área ou setor responsável pela Atividade ou Projeto</t>
        </r>
        <r>
          <rPr>
            <sz val="9"/>
            <color indexed="81"/>
            <rFont val="Tahoma"/>
            <family val="2"/>
          </rPr>
          <t xml:space="preserve">
</t>
        </r>
      </text>
    </comment>
    <comment ref="B7" authorId="0" shapeId="0" xr:uid="{00000000-0006-0000-0500-000002000000}">
      <text>
        <r>
          <rPr>
            <b/>
            <sz val="14"/>
            <color indexed="81"/>
            <rFont val="Calibri Light"/>
            <family val="2"/>
            <scheme val="major"/>
          </rPr>
          <t>P= Projeto                                         A= Atividade 
PE= Projeto Específico</t>
        </r>
      </text>
    </comment>
    <comment ref="C7" authorId="1" shapeId="0" xr:uid="{00000000-0006-0000-0500-000003000000}">
      <text>
        <r>
          <rPr>
            <sz val="18"/>
            <color indexed="81"/>
            <rFont val="Tahoma"/>
            <family val="2"/>
          </rPr>
          <t xml:space="preserve">AT= Projeto ou Atividade Atual ( já existente na Programação 2021)                             
N= Projeto ou Atividade Nova (não existente na Programação 2021)
R= Projeto ou Atividade Reformulada (alterada)
E= Projeto ou Atividade Excluída
C= Projeto concluído
</t>
        </r>
        <r>
          <rPr>
            <sz val="12"/>
            <color indexed="81"/>
            <rFont val="Tahoma"/>
            <family val="2"/>
          </rPr>
          <t xml:space="preserve">
</t>
        </r>
      </text>
    </comment>
    <comment ref="D7" authorId="1" shapeId="0" xr:uid="{00000000-0006-0000-0500-000004000000}">
      <text>
        <r>
          <rPr>
            <b/>
            <sz val="14"/>
            <color indexed="81"/>
            <rFont val="Segoe UI"/>
            <family val="2"/>
          </rPr>
          <t>Marcar X para as iniciativas que irão utilizar o Fundo de Apoio- Apenas para CAU Básicos.</t>
        </r>
      </text>
    </comment>
    <comment ref="E7" authorId="0" shapeId="0" xr:uid="{00000000-0006-0000-0500-000005000000}">
      <text>
        <r>
          <rPr>
            <b/>
            <sz val="13"/>
            <color indexed="81"/>
            <rFont val="Tahoma"/>
            <family val="2"/>
          </rPr>
          <t>Nome do Projeto ou Atividade do Plano de Ação .</t>
        </r>
        <r>
          <rPr>
            <sz val="13"/>
            <color indexed="81"/>
            <rFont val="Tahoma"/>
            <family val="2"/>
          </rPr>
          <t xml:space="preserve">
</t>
        </r>
      </text>
    </comment>
    <comment ref="F7" authorId="0" shapeId="0" xr:uid="{00000000-0006-0000-0500-000006000000}">
      <text>
        <r>
          <rPr>
            <b/>
            <sz val="13"/>
            <color indexed="81"/>
            <rFont val="Tahoma"/>
            <family val="2"/>
          </rPr>
          <t xml:space="preserve">
É a motivação geral e a síntese dos efeitos que se deseja produzir.</t>
        </r>
        <r>
          <rPr>
            <sz val="13"/>
            <color indexed="81"/>
            <rFont val="Tahoma"/>
            <family val="2"/>
          </rPr>
          <t xml:space="preserve">
</t>
        </r>
      </text>
    </comment>
    <comment ref="G7" authorId="0" shapeId="0" xr:uid="{00000000-0006-0000-0500-000007000000}">
      <text>
        <r>
          <rPr>
            <b/>
            <sz val="13"/>
            <color indexed="81"/>
            <rFont val="Tahoma"/>
            <family val="2"/>
          </rPr>
          <t xml:space="preserve">Selecionar uma das opções nas células abaixo que estão de acordo com os objetivos estratégicos do Mapa Estratégico no âmbito das perspectivas da Sociedade, Processos Internos, Alavancadores e Pessoas e Infraestrutura.
</t>
        </r>
        <r>
          <rPr>
            <sz val="12"/>
            <color indexed="81"/>
            <rFont val="Tahoma"/>
            <family val="2"/>
          </rPr>
          <t xml:space="preserve">
</t>
        </r>
      </text>
    </comment>
    <comment ref="H7" authorId="0" shapeId="0" xr:uid="{00000000-0006-0000-0500-000008000000}">
      <text>
        <r>
          <rPr>
            <b/>
            <sz val="13"/>
            <color indexed="81"/>
            <rFont val="Tahoma"/>
            <family val="2"/>
          </rPr>
          <t>Ao firmar o compromisso de incluir os ODS à sua estratégia, o CAU abre caminho para melhorar sua atuação e atender aos anseios da sociedade por projetos e serviços alinhados aos princípios da sustentabilidade. Neste contexto, torna-se facultativo o enquadramento dos projetos e atividades nos ODS em 2021.</t>
        </r>
      </text>
    </comment>
    <comment ref="I7" authorId="0" shapeId="0" xr:uid="{00000000-0006-0000-0500-000009000000}">
      <text>
        <r>
          <rPr>
            <b/>
            <sz val="13"/>
            <color indexed="81"/>
            <rFont val="Tahoma"/>
            <family val="2"/>
          </rPr>
          <t xml:space="preserve">São os efeitos que devem ser produzidos com a execução do projeto/atividade, dentro do seu horizonte do tempo. Refletem o objetivo geral do projeto e representam o seu desdobramento em metas mensuráveis. Resultado = Transformação + Indicador + Meta + Prazo, conforme descritivo no Anexo 4
</t>
        </r>
        <r>
          <rPr>
            <b/>
            <sz val="12"/>
            <color indexed="81"/>
            <rFont val="Tahoma"/>
            <family val="2"/>
          </rPr>
          <t xml:space="preserve">
</t>
        </r>
        <r>
          <rPr>
            <sz val="12"/>
            <color indexed="81"/>
            <rFont val="Tahoma"/>
            <family val="2"/>
          </rPr>
          <t xml:space="preserve">
</t>
        </r>
      </text>
    </comment>
    <comment ref="J7" authorId="0" shapeId="0" xr:uid="{00000000-0006-0000-0500-00000A000000}">
      <text>
        <r>
          <rPr>
            <b/>
            <sz val="13"/>
            <color indexed="81"/>
            <rFont val="Tahoma"/>
            <family val="2"/>
          </rPr>
          <t xml:space="preserve">Os valores devem ser iguais do Plano de Ação da Programação 2021 aprovado. Caso tenha feito a Reprogramação Extraordinária 2021, considerar os valores aprovados nessa reprogramação. </t>
        </r>
        <r>
          <rPr>
            <b/>
            <sz val="12"/>
            <color indexed="81"/>
            <rFont val="Tahoma"/>
            <family val="2"/>
          </rPr>
          <t xml:space="preserve">
</t>
        </r>
        <r>
          <rPr>
            <sz val="12"/>
            <color indexed="81"/>
            <rFont val="Tahoma"/>
            <family val="2"/>
          </rPr>
          <t xml:space="preserve">
</t>
        </r>
      </text>
    </comment>
    <comment ref="K7" authorId="0" shapeId="0" xr:uid="{00000000-0006-0000-0500-00000B000000}">
      <text>
        <r>
          <rPr>
            <b/>
            <sz val="14"/>
            <color indexed="81"/>
            <rFont val="Tahoma"/>
            <family val="2"/>
          </rPr>
          <t xml:space="preserve">Valores  dos Projetos/Atividades da Reprogramação 2021.
</t>
        </r>
        <r>
          <rPr>
            <b/>
            <sz val="12"/>
            <color indexed="81"/>
            <rFont val="Tahoma"/>
            <family val="2"/>
          </rPr>
          <t xml:space="preserve">
</t>
        </r>
      </text>
    </comment>
    <comment ref="M7" authorId="0" shapeId="0" xr:uid="{00000000-0006-0000-0500-00000C000000}">
      <text>
        <r>
          <rPr>
            <b/>
            <sz val="13"/>
            <color indexed="81"/>
            <rFont val="Tahoma"/>
            <family val="2"/>
          </rPr>
          <t>Valores  dos Projetos/Atividades do Plano de Ação da Reprogramação 2021= Execução+Projetado</t>
        </r>
        <r>
          <rPr>
            <b/>
            <sz val="12"/>
            <color indexed="81"/>
            <rFont val="Tahoma"/>
            <family val="2"/>
          </rPr>
          <t xml:space="preserve">
</t>
        </r>
      </text>
    </comment>
    <comment ref="N7" authorId="1" shapeId="0" xr:uid="{00000000-0006-0000-0500-00000D000000}">
      <text>
        <r>
          <rPr>
            <b/>
            <sz val="15"/>
            <color indexed="81"/>
            <rFont val="Tahoma"/>
            <family val="2"/>
          </rPr>
          <t xml:space="preserve"> Resolução nº 200- Art. 9º "Fica autorizada a utilização de superávit financeiro acumulado até o exercício imediatamente anterior, apurado no balanço patrimonial, em despesas de capital e em projetos específicos, com seus respectivos planos de trabalho, de caráter não continuado, não configurado como atividade, em ações cuja realização seja suportada por despesas de natureza corrente".</t>
        </r>
      </text>
    </comment>
    <comment ref="O7" authorId="1" shapeId="0" xr:uid="{00000000-0006-0000-0500-00000E000000}">
      <text>
        <r>
          <rPr>
            <b/>
            <sz val="13"/>
            <color indexed="81"/>
            <rFont val="Tahoma"/>
            <family val="2"/>
          </rPr>
          <t>Para os CAU Básicos : Valores do Fundo de Apoio distribuídos por Projeto/Atividade. Vale a ressalva que a Atividade do CSC deve</t>
        </r>
        <r>
          <rPr>
            <b/>
            <sz val="13"/>
            <color indexed="8"/>
            <rFont val="Tahoma"/>
            <family val="2"/>
          </rPr>
          <t xml:space="preserve"> ser pago com o Fundo de Apoio. Não utilizar em despesa de capital.</t>
        </r>
      </text>
    </comment>
    <comment ref="K8" authorId="2" shapeId="0" xr:uid="{00000000-0006-0000-0500-00000F000000}">
      <text>
        <r>
          <rPr>
            <b/>
            <sz val="15"/>
            <color indexed="81"/>
            <rFont val="Segoe UI"/>
            <family val="2"/>
          </rPr>
          <t xml:space="preserve">O valor do "Executado 2021": retirar do SISCONT. NET, no caminho "Centro de Custos&gt; Relatórios&gt; Demonstrativo de empenhos/pagamentos"; período de  01/01/2021 até 31/05/2021; na coluna "LIQUIDAÇÕES".  </t>
        </r>
        <r>
          <rPr>
            <b/>
            <sz val="20"/>
            <color indexed="81"/>
            <rFont val="Segoe UI"/>
            <family val="2"/>
          </rPr>
          <t xml:space="preserve">
</t>
        </r>
        <r>
          <rPr>
            <sz val="9"/>
            <color indexed="81"/>
            <rFont val="Segoe UI"/>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Flavia Rios Costa</author>
    <author>Gustavo Milhomem Brito Menezes</author>
    <author>Tania Mara Chaves Daldegan</author>
  </authors>
  <commentList>
    <comment ref="C8" authorId="0" shapeId="0" xr:uid="{00000000-0006-0000-0600-000001000000}">
      <text>
        <r>
          <rPr>
            <b/>
            <sz val="12"/>
            <color indexed="81"/>
            <rFont val="Tahoma"/>
            <family val="2"/>
          </rPr>
          <t xml:space="preserve">Os valores devem ser iguais do Plano de Ação da Programação 2021 aprovado. Caso tenha feito a Reprogramação Extraordinária 2021, considerar os valores aprovados nessa reprogramação. </t>
        </r>
        <r>
          <rPr>
            <b/>
            <sz val="9"/>
            <color indexed="81"/>
            <rFont val="Segoe UI"/>
            <family val="2"/>
          </rPr>
          <t xml:space="preserve">
</t>
        </r>
      </text>
    </comment>
    <comment ref="D9" authorId="1" shapeId="0" xr:uid="{00000000-0006-0000-0600-000002000000}">
      <text>
        <r>
          <rPr>
            <b/>
            <sz val="11"/>
            <color indexed="81"/>
            <rFont val="Tahoma"/>
            <family val="2"/>
          </rPr>
          <t>O valor das "Receitas realizadas 2021": retirar do SISCONT. NET, no caminho:  "Contabilidade&gt; Relatórios-&gt;Consolidado&gt;comparativo da receita"; período de 01/01/2021 até 19/05/2021; na coluna "Arrec.Período"</t>
        </r>
      </text>
    </comment>
    <comment ref="E9" authorId="1" shapeId="0" xr:uid="{00000000-0006-0000-0600-000003000000}">
      <text>
        <r>
          <rPr>
            <b/>
            <sz val="12"/>
            <color indexed="81"/>
            <rFont val="Tahoma"/>
            <family val="2"/>
          </rPr>
          <t>De acordo com as ações e metas a serem executadas em 2021.</t>
        </r>
      </text>
    </comment>
    <comment ref="F9" authorId="1" shapeId="0" xr:uid="{00000000-0006-0000-0600-000004000000}">
      <text>
        <r>
          <rPr>
            <b/>
            <sz val="12"/>
            <color indexed="81"/>
            <rFont val="Tahoma"/>
            <family val="2"/>
          </rPr>
          <t xml:space="preserve">Observar os valores que estão nas Diretrizes da Reprogramação 2021 para Anuidades, RRT, Taxas e Multas
</t>
        </r>
        <r>
          <rPr>
            <b/>
            <sz val="9"/>
            <color indexed="81"/>
            <rFont val="Tahoma"/>
            <family val="2"/>
          </rPr>
          <t xml:space="preserve">
</t>
        </r>
        <r>
          <rPr>
            <sz val="9"/>
            <color indexed="81"/>
            <rFont val="Tahoma"/>
            <family val="2"/>
          </rPr>
          <t xml:space="preserve">
</t>
        </r>
      </text>
    </comment>
    <comment ref="A14" authorId="0" shapeId="0" xr:uid="{00000000-0006-0000-0600-000005000000}">
      <text>
        <r>
          <rPr>
            <b/>
            <sz val="10"/>
            <color indexed="81"/>
            <rFont val="Tahoma"/>
            <family val="2"/>
          </rPr>
          <t>Somar os valores do exercício atual e exercícios anteriores.</t>
        </r>
      </text>
    </comment>
    <comment ref="A17" authorId="0" shapeId="0" xr:uid="{00000000-0006-0000-0600-000006000000}">
      <text>
        <r>
          <rPr>
            <b/>
            <sz val="10"/>
            <color indexed="81"/>
            <rFont val="Tahoma"/>
            <family val="2"/>
          </rPr>
          <t>Somar os valores do exercício atual e exercícios anteriores.</t>
        </r>
        <r>
          <rPr>
            <sz val="9"/>
            <color indexed="81"/>
            <rFont val="Tahoma"/>
            <family val="2"/>
          </rPr>
          <t xml:space="preserve">
</t>
        </r>
      </text>
    </comment>
    <comment ref="A21" authorId="0" shapeId="0" xr:uid="{00000000-0006-0000-0600-000007000000}">
      <text>
        <r>
          <rPr>
            <b/>
            <sz val="10"/>
            <color indexed="81"/>
            <rFont val="Tahoma"/>
            <family val="2"/>
          </rPr>
          <t>Considerar taxas e multas todos os valores relacionados com: Taxa Expediente RRT extemporâneo; Taxa Selic; Documento de fiscalização; Multa e mora de anuidades; Certidão de acervo técnico com atestado; Registro de direito autoral; Multa ética; Multa ausência na eleição, conforme informações do Siccau/Siscont.net.</t>
        </r>
        <r>
          <rPr>
            <sz val="9"/>
            <color indexed="81"/>
            <rFont val="Tahoma"/>
            <family val="2"/>
          </rPr>
          <t xml:space="preserve">
</t>
        </r>
      </text>
    </comment>
    <comment ref="A35" authorId="0" shapeId="0" xr:uid="{00000000-0006-0000-0600-000008000000}">
      <text>
        <r>
          <rPr>
            <b/>
            <sz val="11"/>
            <color indexed="81"/>
            <rFont val="Tahoma"/>
            <family val="2"/>
          </rPr>
          <t>Apenas o Valor do APORTE DO CSC</t>
        </r>
        <r>
          <rPr>
            <sz val="9"/>
            <color indexed="81"/>
            <rFont val="Tahoma"/>
            <family val="2"/>
          </rPr>
          <t xml:space="preserve">
</t>
        </r>
      </text>
    </comment>
    <comment ref="E43" authorId="2" shapeId="0" xr:uid="{00000000-0006-0000-0600-000009000000}">
      <text>
        <r>
          <rPr>
            <b/>
            <sz val="14"/>
            <color indexed="81"/>
            <rFont val="Segoe UI"/>
            <family val="2"/>
          </rPr>
          <t>Valores conforme o anexo "Fontes e Aplicações" do Parecer da Programação 2021</t>
        </r>
        <r>
          <rPr>
            <b/>
            <sz val="9"/>
            <color indexed="81"/>
            <rFont val="Segoe UI"/>
            <family val="2"/>
          </rPr>
          <t xml:space="preserve">
</t>
        </r>
      </text>
    </comment>
    <comment ref="A53" authorId="0" shapeId="0" xr:uid="{00000000-0006-0000-0600-00000A000000}">
      <text>
        <r>
          <rPr>
            <sz val="13"/>
            <color indexed="81"/>
            <rFont val="Tahoma"/>
            <family val="2"/>
          </rPr>
          <t>Resolução 200- art 9º "Fica autorizada a utilização de superávit financeiro acumulado até o exercício imediatamente anterior, apurado no balanço patrimonial, em despesas de capital e em projetos específicos, com seus respectivos planos de trabalho, de caráter não continuado, não configurado como atividade, em ações cuja realização seja suportada por despesas de natureza corrente."</t>
        </r>
        <r>
          <rPr>
            <sz val="9"/>
            <color indexed="81"/>
            <rFont val="Segoe UI"/>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Gustavo Milhomem Brito Menezes</author>
    <author>Tania Mara Chaves Daldegan</author>
  </authors>
  <commentList>
    <comment ref="B5" authorId="0" shapeId="0" xr:uid="{00000000-0006-0000-0700-000001000000}">
      <text>
        <r>
          <rPr>
            <b/>
            <sz val="11"/>
            <color indexed="81"/>
            <rFont val="Tahoma"/>
            <family val="2"/>
          </rPr>
          <t xml:space="preserve">Vinculada as Receitas de Arrecadação do Anexo 1.1 - Usos e Fonte COM os valores das anuidades de exercícios anteriores.
</t>
        </r>
      </text>
    </comment>
    <comment ref="B6" authorId="0" shapeId="0" xr:uid="{00000000-0006-0000-0700-000002000000}">
      <text>
        <r>
          <rPr>
            <b/>
            <sz val="13"/>
            <color indexed="81"/>
            <rFont val="Tahoma"/>
            <family val="2"/>
          </rPr>
          <t>Apenas para os Cau Básicos. O valor total deve ser igual do que consta nas Diretrizes da Reprogramação 2021.</t>
        </r>
        <r>
          <rPr>
            <sz val="9"/>
            <color indexed="81"/>
            <rFont val="Tahoma"/>
            <family val="2"/>
          </rPr>
          <t xml:space="preserve">
</t>
        </r>
      </text>
    </comment>
    <comment ref="O6" authorId="1" shapeId="0" xr:uid="{00000000-0006-0000-0700-000003000000}">
      <text>
        <r>
          <rPr>
            <b/>
            <sz val="14"/>
            <color indexed="81"/>
            <rFont val="Tahoma"/>
            <family val="2"/>
          </rPr>
          <t>Detalhar o valor no campo das justificativas</t>
        </r>
        <r>
          <rPr>
            <sz val="9"/>
            <color indexed="81"/>
            <rFont val="Tahoma"/>
            <family val="2"/>
          </rPr>
          <t xml:space="preserve">
</t>
        </r>
      </text>
    </comment>
    <comment ref="B7" authorId="0" shapeId="0" xr:uid="{00000000-0006-0000-0700-000004000000}">
      <text>
        <r>
          <rPr>
            <b/>
            <sz val="9"/>
            <color indexed="81"/>
            <rFont val="Tahoma"/>
            <family val="2"/>
          </rPr>
          <t>= Receita de Arrecadação + Recurso do Fundo de Apoio</t>
        </r>
        <r>
          <rPr>
            <sz val="9"/>
            <color indexed="81"/>
            <rFont val="Tahoma"/>
            <family val="2"/>
          </rPr>
          <t xml:space="preserve">
</t>
        </r>
      </text>
    </comment>
    <comment ref="B8" authorId="0" shapeId="0" xr:uid="{00000000-0006-0000-0700-000005000000}">
      <text>
        <r>
          <rPr>
            <b/>
            <sz val="13"/>
            <color indexed="81"/>
            <rFont val="Tahoma"/>
            <family val="2"/>
          </rPr>
          <t>Vinculada as Receitas de Arrecadação do Anexo 1.</t>
        </r>
      </text>
    </comment>
    <comment ref="B9" authorId="0" shapeId="0" xr:uid="{00000000-0006-0000-0700-000006000000}">
      <text>
        <r>
          <rPr>
            <b/>
            <sz val="9"/>
            <color indexed="81"/>
            <rFont val="Tahoma"/>
            <family val="2"/>
          </rPr>
          <t>RAL= Receita de Arrecadação + Fundo de Apoio (apenas CAU Básicos) - Aportes ( CSC + FA)</t>
        </r>
      </text>
    </comment>
    <comment ref="F12" authorId="1" shapeId="0" xr:uid="{00000000-0006-0000-0700-000007000000}">
      <text>
        <r>
          <rPr>
            <b/>
            <sz val="9"/>
            <color indexed="81"/>
            <rFont val="Segoe UI"/>
            <family val="2"/>
          </rPr>
          <t>É percentual (%)</t>
        </r>
        <r>
          <rPr>
            <sz val="9"/>
            <color indexed="81"/>
            <rFont val="Segoe UI"/>
            <family val="2"/>
          </rPr>
          <t xml:space="preserve">
</t>
        </r>
      </text>
    </comment>
    <comment ref="F13" authorId="1" shapeId="0" xr:uid="{00000000-0006-0000-0700-000008000000}">
      <text>
        <r>
          <rPr>
            <b/>
            <sz val="9"/>
            <color indexed="81"/>
            <rFont val="Segoe UI"/>
            <family val="2"/>
          </rPr>
          <t>É ponto percentual (pp)</t>
        </r>
        <r>
          <rPr>
            <sz val="9"/>
            <color indexed="81"/>
            <rFont val="Segoe UI"/>
            <family val="2"/>
          </rPr>
          <t xml:space="preserve">
</t>
        </r>
      </text>
    </comment>
    <comment ref="F14" authorId="1" shapeId="0" xr:uid="{00000000-0006-0000-0700-000009000000}">
      <text>
        <r>
          <rPr>
            <b/>
            <sz val="9"/>
            <color indexed="81"/>
            <rFont val="Segoe UI"/>
            <family val="2"/>
          </rPr>
          <t>É percentual (%)</t>
        </r>
        <r>
          <rPr>
            <sz val="9"/>
            <color indexed="81"/>
            <rFont val="Segoe UI"/>
            <family val="2"/>
          </rPr>
          <t xml:space="preserve">
</t>
        </r>
      </text>
    </comment>
    <comment ref="F15" authorId="1" shapeId="0" xr:uid="{00000000-0006-0000-0700-00000A000000}">
      <text>
        <r>
          <rPr>
            <b/>
            <sz val="9"/>
            <color indexed="81"/>
            <rFont val="Segoe UI"/>
            <family val="2"/>
          </rPr>
          <t>É ponto percentual (pp)</t>
        </r>
        <r>
          <rPr>
            <sz val="9"/>
            <color indexed="81"/>
            <rFont val="Segoe UI"/>
            <family val="2"/>
          </rPr>
          <t xml:space="preserve">
</t>
        </r>
      </text>
    </comment>
    <comment ref="F16" authorId="1" shapeId="0" xr:uid="{00000000-0006-0000-0700-00000B000000}">
      <text>
        <r>
          <rPr>
            <b/>
            <sz val="9"/>
            <color indexed="81"/>
            <rFont val="Segoe UI"/>
            <family val="2"/>
          </rPr>
          <t>É percentual (%)</t>
        </r>
        <r>
          <rPr>
            <sz val="9"/>
            <color indexed="81"/>
            <rFont val="Segoe UI"/>
            <family val="2"/>
          </rPr>
          <t xml:space="preserve">
</t>
        </r>
      </text>
    </comment>
    <comment ref="F17" authorId="1" shapeId="0" xr:uid="{00000000-0006-0000-0700-00000C000000}">
      <text>
        <r>
          <rPr>
            <b/>
            <sz val="9"/>
            <color indexed="81"/>
            <rFont val="Segoe UI"/>
            <family val="2"/>
          </rPr>
          <t>É ponto percentual (pp)</t>
        </r>
        <r>
          <rPr>
            <sz val="9"/>
            <color indexed="81"/>
            <rFont val="Segoe UI"/>
            <family val="2"/>
          </rPr>
          <t xml:space="preserve">
</t>
        </r>
      </text>
    </comment>
    <comment ref="F18" authorId="1" shapeId="0" xr:uid="{00000000-0006-0000-0700-00000D000000}">
      <text>
        <r>
          <rPr>
            <b/>
            <sz val="9"/>
            <color indexed="81"/>
            <rFont val="Segoe UI"/>
            <family val="2"/>
          </rPr>
          <t>É percentual (%)</t>
        </r>
        <r>
          <rPr>
            <sz val="9"/>
            <color indexed="81"/>
            <rFont val="Segoe UI"/>
            <family val="2"/>
          </rPr>
          <t xml:space="preserve">
</t>
        </r>
      </text>
    </comment>
    <comment ref="F19" authorId="1" shapeId="0" xr:uid="{00000000-0006-0000-0700-00000E000000}">
      <text>
        <r>
          <rPr>
            <b/>
            <sz val="9"/>
            <color indexed="81"/>
            <rFont val="Segoe UI"/>
            <family val="2"/>
          </rPr>
          <t>É ponto percentual (pp)</t>
        </r>
        <r>
          <rPr>
            <sz val="9"/>
            <color indexed="81"/>
            <rFont val="Segoe UI"/>
            <family val="2"/>
          </rPr>
          <t xml:space="preserve">
</t>
        </r>
      </text>
    </comment>
    <comment ref="F20" authorId="1" shapeId="0" xr:uid="{00000000-0006-0000-0700-00000F000000}">
      <text>
        <r>
          <rPr>
            <b/>
            <sz val="9"/>
            <color indexed="81"/>
            <rFont val="Segoe UI"/>
            <family val="2"/>
          </rPr>
          <t>É percentual (%)</t>
        </r>
        <r>
          <rPr>
            <sz val="9"/>
            <color indexed="81"/>
            <rFont val="Segoe UI"/>
            <family val="2"/>
          </rPr>
          <t xml:space="preserve">
</t>
        </r>
      </text>
    </comment>
    <comment ref="F21" authorId="1" shapeId="0" xr:uid="{00000000-0006-0000-0700-000010000000}">
      <text>
        <r>
          <rPr>
            <b/>
            <sz val="9"/>
            <color indexed="81"/>
            <rFont val="Segoe UI"/>
            <family val="2"/>
          </rPr>
          <t>É ponto percentual (pp)</t>
        </r>
        <r>
          <rPr>
            <sz val="9"/>
            <color indexed="81"/>
            <rFont val="Segoe UI"/>
            <family val="2"/>
          </rPr>
          <t xml:space="preserve">
</t>
        </r>
      </text>
    </comment>
    <comment ref="F22" authorId="1" shapeId="0" xr:uid="{00000000-0006-0000-0700-000011000000}">
      <text>
        <r>
          <rPr>
            <b/>
            <sz val="9"/>
            <color indexed="81"/>
            <rFont val="Segoe UI"/>
            <family val="2"/>
          </rPr>
          <t>É percentual (%)</t>
        </r>
        <r>
          <rPr>
            <sz val="9"/>
            <color indexed="81"/>
            <rFont val="Segoe UI"/>
            <family val="2"/>
          </rPr>
          <t xml:space="preserve">
</t>
        </r>
      </text>
    </comment>
    <comment ref="F23" authorId="1" shapeId="0" xr:uid="{00000000-0006-0000-0700-000012000000}">
      <text>
        <r>
          <rPr>
            <b/>
            <sz val="9"/>
            <color indexed="81"/>
            <rFont val="Segoe UI"/>
            <family val="2"/>
          </rPr>
          <t>É ponto percentual (pp)</t>
        </r>
        <r>
          <rPr>
            <sz val="9"/>
            <color indexed="81"/>
            <rFont val="Segoe UI"/>
            <family val="2"/>
          </rPr>
          <t xml:space="preserve">
</t>
        </r>
      </text>
    </comment>
    <comment ref="F24" authorId="1" shapeId="0" xr:uid="{00000000-0006-0000-0700-000013000000}">
      <text>
        <r>
          <rPr>
            <b/>
            <sz val="9"/>
            <color indexed="81"/>
            <rFont val="Segoe UI"/>
            <family val="2"/>
          </rPr>
          <t>É percentual (%)</t>
        </r>
        <r>
          <rPr>
            <sz val="9"/>
            <color indexed="81"/>
            <rFont val="Segoe UI"/>
            <family val="2"/>
          </rPr>
          <t xml:space="preserve">
</t>
        </r>
      </text>
    </comment>
    <comment ref="F25" authorId="1" shapeId="0" xr:uid="{00000000-0006-0000-0700-000014000000}">
      <text>
        <r>
          <rPr>
            <b/>
            <sz val="9"/>
            <color indexed="81"/>
            <rFont val="Segoe UI"/>
            <family val="2"/>
          </rPr>
          <t>É ponto percentual (pp)</t>
        </r>
        <r>
          <rPr>
            <sz val="9"/>
            <color indexed="81"/>
            <rFont val="Segoe UI"/>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Fabiana ...</author>
    <author>Tania Mara Chaves Daldegan</author>
  </authors>
  <commentList>
    <comment ref="B5" authorId="0" shapeId="0" xr:uid="{00000000-0006-0000-0800-000001000000}">
      <text>
        <r>
          <rPr>
            <b/>
            <sz val="9"/>
            <color indexed="81"/>
            <rFont val="Segoe UI"/>
            <family val="2"/>
          </rPr>
          <t>1.Vedada a utilização para a despesa de capital. 
2.Custear a participação do presidente nas Plenárias Ampliadas.
3.Custear o CSC.</t>
        </r>
      </text>
    </comment>
    <comment ref="L5" authorId="1" shapeId="0" xr:uid="{00000000-0006-0000-0800-000002000000}">
      <text>
        <r>
          <rPr>
            <b/>
            <sz val="9"/>
            <color indexed="81"/>
            <rFont val="Segoe UI"/>
            <family val="2"/>
          </rPr>
          <t>Aporte ao Fundo de apoio
Aporte o CSC
Patrocínio
Convênios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Tania Mara Chaves Daldegan</author>
  </authors>
  <commentList>
    <comment ref="C8" authorId="0" shapeId="0" xr:uid="{00000000-0006-0000-0900-000001000000}">
      <text>
        <r>
          <rPr>
            <sz val="18"/>
            <color indexed="81"/>
            <rFont val="Segoe UI"/>
            <family val="2"/>
          </rPr>
          <t xml:space="preserve">DEVE respeitar a correlação entre a ação estratégica e os objetivos estratégicos, conforme a aba - Ações estratégicas.
</t>
        </r>
      </text>
    </comment>
    <comment ref="E8" authorId="0" shapeId="0" xr:uid="{00000000-0006-0000-0900-000002000000}">
      <text>
        <r>
          <rPr>
            <b/>
            <sz val="18"/>
            <color indexed="81"/>
            <rFont val="Segoe UI"/>
            <family val="2"/>
          </rPr>
          <t xml:space="preserve">Valores conforme a execução orçamentária do SISCONT.NET. </t>
        </r>
        <r>
          <rPr>
            <sz val="18"/>
            <color indexed="81"/>
            <rFont val="Segoe UI"/>
            <family val="2"/>
          </rPr>
          <t xml:space="preserve">
</t>
        </r>
      </text>
    </comment>
    <comment ref="C27" authorId="0" shapeId="0" xr:uid="{00000000-0006-0000-0900-000003000000}">
      <text>
        <r>
          <rPr>
            <sz val="18"/>
            <color indexed="81"/>
            <rFont val="Segoe UI"/>
            <family val="2"/>
          </rPr>
          <t xml:space="preserve">DEVE respeitar a correlação entre a ação estratégica e os objetivos estratégicos, conforme a aba - Ações estratégicas.
</t>
        </r>
      </text>
    </comment>
    <comment ref="E27" authorId="0" shapeId="0" xr:uid="{00000000-0006-0000-0900-000004000000}">
      <text>
        <r>
          <rPr>
            <b/>
            <sz val="18"/>
            <color indexed="81"/>
            <rFont val="Segoe UI"/>
            <family val="2"/>
          </rPr>
          <t xml:space="preserve">Valores conforme a execução orçamentária do SISCONT.NET. </t>
        </r>
        <r>
          <rPr>
            <sz val="18"/>
            <color indexed="81"/>
            <rFont val="Segoe UI"/>
            <family val="2"/>
          </rPr>
          <t xml:space="preserve">
</t>
        </r>
      </text>
    </comment>
    <comment ref="C61" authorId="0" shapeId="0" xr:uid="{00000000-0006-0000-0900-000005000000}">
      <text>
        <r>
          <rPr>
            <sz val="18"/>
            <color indexed="81"/>
            <rFont val="Segoe UI"/>
            <family val="2"/>
          </rPr>
          <t xml:space="preserve">DEVE respeitar a correlação entre a ação estratégica e os objetivos estratégicos, conforme a aba - Ações estratégicas.
</t>
        </r>
      </text>
    </comment>
    <comment ref="E61" authorId="0" shapeId="0" xr:uid="{00000000-0006-0000-0900-000006000000}">
      <text>
        <r>
          <rPr>
            <b/>
            <sz val="18"/>
            <color indexed="81"/>
            <rFont val="Segoe UI"/>
            <family val="2"/>
          </rPr>
          <t xml:space="preserve">Valores conforme a execução orçamentária do SISCONT.NET. </t>
        </r>
        <r>
          <rPr>
            <sz val="18"/>
            <color indexed="81"/>
            <rFont val="Segoe UI"/>
            <family val="2"/>
          </rPr>
          <t xml:space="preserve">
</t>
        </r>
      </text>
    </comment>
    <comment ref="C88" authorId="0" shapeId="0" xr:uid="{00000000-0006-0000-0900-000007000000}">
      <text>
        <r>
          <rPr>
            <sz val="18"/>
            <color indexed="81"/>
            <rFont val="Segoe UI"/>
            <family val="2"/>
          </rPr>
          <t xml:space="preserve">DEVE respeitar a correlação entre a ação estratégica e os objetivos estratégicos, conforme a aba - Ações estratégicas.
</t>
        </r>
      </text>
    </comment>
    <comment ref="E88" authorId="0" shapeId="0" xr:uid="{00000000-0006-0000-0900-000008000000}">
      <text>
        <r>
          <rPr>
            <b/>
            <sz val="18"/>
            <color indexed="81"/>
            <rFont val="Segoe UI"/>
            <family val="2"/>
          </rPr>
          <t xml:space="preserve">Valores conforme a execução orçamentária do SISCONT.NET. </t>
        </r>
        <r>
          <rPr>
            <sz val="18"/>
            <color indexed="81"/>
            <rFont val="Segoe UI"/>
            <family val="2"/>
          </rPr>
          <t xml:space="preserve">
</t>
        </r>
      </text>
    </comment>
    <comment ref="C100" authorId="0" shapeId="0" xr:uid="{00000000-0006-0000-0900-000009000000}">
      <text>
        <r>
          <rPr>
            <sz val="18"/>
            <color indexed="81"/>
            <rFont val="Segoe UI"/>
            <family val="2"/>
          </rPr>
          <t xml:space="preserve">DEVE respeitar a correlação entre a ação estratégica e os objetivos estratégicos, conforme a aba - Ações estratégicas.
</t>
        </r>
      </text>
    </comment>
    <comment ref="E100" authorId="0" shapeId="0" xr:uid="{00000000-0006-0000-0900-00000A000000}">
      <text>
        <r>
          <rPr>
            <b/>
            <sz val="18"/>
            <color indexed="81"/>
            <rFont val="Segoe UI"/>
            <family val="2"/>
          </rPr>
          <t xml:space="preserve">Valores conforme a execução orçamentária do SISCONT.NET. </t>
        </r>
        <r>
          <rPr>
            <sz val="18"/>
            <color indexed="81"/>
            <rFont val="Segoe UI"/>
            <family val="2"/>
          </rPr>
          <t xml:space="preserve">
</t>
        </r>
      </text>
    </comment>
    <comment ref="C132" authorId="0" shapeId="0" xr:uid="{00000000-0006-0000-0900-00000B000000}">
      <text>
        <r>
          <rPr>
            <sz val="18"/>
            <color indexed="81"/>
            <rFont val="Segoe UI"/>
            <family val="2"/>
          </rPr>
          <t xml:space="preserve">DEVE respeitar a correlação entre a ação estratégica e os objetivos estratégicos, conforme a aba - Ações estratégicas.
</t>
        </r>
      </text>
    </comment>
    <comment ref="E132" authorId="0" shapeId="0" xr:uid="{00000000-0006-0000-0900-00000C000000}">
      <text>
        <r>
          <rPr>
            <b/>
            <sz val="18"/>
            <color indexed="81"/>
            <rFont val="Segoe UI"/>
            <family val="2"/>
          </rPr>
          <t xml:space="preserve">Valores conforme a execução orçamentária do SISCONT.NET. </t>
        </r>
        <r>
          <rPr>
            <sz val="18"/>
            <color indexed="81"/>
            <rFont val="Segoe UI"/>
            <family val="2"/>
          </rPr>
          <t xml:space="preserve">
</t>
        </r>
      </text>
    </comment>
    <comment ref="C154" authorId="0" shapeId="0" xr:uid="{00000000-0006-0000-0900-00000D000000}">
      <text>
        <r>
          <rPr>
            <sz val="18"/>
            <color indexed="81"/>
            <rFont val="Segoe UI"/>
            <family val="2"/>
          </rPr>
          <t xml:space="preserve">DEVE respeitar a correlação entre a ação estratégica e os objetivos estratégicos, conforme a aba - Ações estratégicas.
</t>
        </r>
      </text>
    </comment>
    <comment ref="E154" authorId="0" shapeId="0" xr:uid="{00000000-0006-0000-0900-00000E000000}">
      <text>
        <r>
          <rPr>
            <b/>
            <sz val="18"/>
            <color indexed="81"/>
            <rFont val="Segoe UI"/>
            <family val="2"/>
          </rPr>
          <t xml:space="preserve">Valores conforme a execução orçamentária do SISCONT.NET. </t>
        </r>
        <r>
          <rPr>
            <sz val="18"/>
            <color indexed="81"/>
            <rFont val="Segoe UI"/>
            <family val="2"/>
          </rPr>
          <t xml:space="preserve">
</t>
        </r>
      </text>
    </comment>
    <comment ref="C173" authorId="0" shapeId="0" xr:uid="{00000000-0006-0000-0900-00000F000000}">
      <text>
        <r>
          <rPr>
            <sz val="18"/>
            <color indexed="81"/>
            <rFont val="Segoe UI"/>
            <family val="2"/>
          </rPr>
          <t xml:space="preserve">DEVE respeitar a correlação entre a ação estratégica e os objetivos estratégicos, conforme a aba - Ações estratégicas.
</t>
        </r>
      </text>
    </comment>
    <comment ref="E173" authorId="0" shapeId="0" xr:uid="{00000000-0006-0000-0900-000010000000}">
      <text>
        <r>
          <rPr>
            <b/>
            <sz val="18"/>
            <color indexed="81"/>
            <rFont val="Segoe UI"/>
            <family val="2"/>
          </rPr>
          <t xml:space="preserve">Valores conforme a execução orçamentária do SISCONT.NET. </t>
        </r>
        <r>
          <rPr>
            <sz val="18"/>
            <color indexed="81"/>
            <rFont val="Segoe UI"/>
            <family val="2"/>
          </rPr>
          <t xml:space="preserve">
</t>
        </r>
      </text>
    </comment>
    <comment ref="C210" authorId="0" shapeId="0" xr:uid="{00000000-0006-0000-0900-000011000000}">
      <text>
        <r>
          <rPr>
            <sz val="18"/>
            <color indexed="81"/>
            <rFont val="Segoe UI"/>
            <family val="2"/>
          </rPr>
          <t xml:space="preserve">DEVE respeitar a correlação entre a ação estratégica e os objetivos estratégicos, conforme a aba - Ações estratégicas.
</t>
        </r>
      </text>
    </comment>
    <comment ref="E210" authorId="0" shapeId="0" xr:uid="{00000000-0006-0000-0900-000012000000}">
      <text>
        <r>
          <rPr>
            <b/>
            <sz val="18"/>
            <color indexed="81"/>
            <rFont val="Segoe UI"/>
            <family val="2"/>
          </rPr>
          <t xml:space="preserve">Valores conforme a execução orçamentária do SISCONT.NET. </t>
        </r>
        <r>
          <rPr>
            <sz val="18"/>
            <color indexed="81"/>
            <rFont val="Segoe UI"/>
            <family val="2"/>
          </rPr>
          <t xml:space="preserve">
</t>
        </r>
      </text>
    </comment>
    <comment ref="C227" authorId="0" shapeId="0" xr:uid="{00000000-0006-0000-0900-000013000000}">
      <text>
        <r>
          <rPr>
            <sz val="18"/>
            <color indexed="81"/>
            <rFont val="Segoe UI"/>
            <family val="2"/>
          </rPr>
          <t xml:space="preserve">DEVE respeitar a correlação entre a ação estratégica e os objetivos estratégicos, conforme a aba - Ações estratégicas.
</t>
        </r>
      </text>
    </comment>
    <comment ref="E227" authorId="0" shapeId="0" xr:uid="{00000000-0006-0000-0900-000014000000}">
      <text>
        <r>
          <rPr>
            <b/>
            <sz val="18"/>
            <color indexed="81"/>
            <rFont val="Segoe UI"/>
            <family val="2"/>
          </rPr>
          <t xml:space="preserve">Valores conforme a execução orçamentária do SISCONT.NET. </t>
        </r>
        <r>
          <rPr>
            <sz val="18"/>
            <color indexed="81"/>
            <rFont val="Segoe UI"/>
            <family val="2"/>
          </rPr>
          <t xml:space="preserve">
</t>
        </r>
      </text>
    </comment>
    <comment ref="C252" authorId="0" shapeId="0" xr:uid="{00000000-0006-0000-0900-000015000000}">
      <text>
        <r>
          <rPr>
            <sz val="18"/>
            <color indexed="81"/>
            <rFont val="Segoe UI"/>
            <family val="2"/>
          </rPr>
          <t xml:space="preserve">DEVE respeitar a correlação entre a ação estratégica e os objetivos estratégicos, conforme a aba - Ações estratégicas.
</t>
        </r>
      </text>
    </comment>
    <comment ref="E252" authorId="0" shapeId="0" xr:uid="{00000000-0006-0000-0900-000016000000}">
      <text>
        <r>
          <rPr>
            <b/>
            <sz val="18"/>
            <color indexed="81"/>
            <rFont val="Segoe UI"/>
            <family val="2"/>
          </rPr>
          <t xml:space="preserve">Valores conforme a execução orçamentária do SISCONT.NET. </t>
        </r>
        <r>
          <rPr>
            <sz val="18"/>
            <color indexed="81"/>
            <rFont val="Segoe UI"/>
            <family val="2"/>
          </rPr>
          <t xml:space="preserve">
</t>
        </r>
      </text>
    </comment>
    <comment ref="C285" authorId="0" shapeId="0" xr:uid="{00000000-0006-0000-0900-000017000000}">
      <text>
        <r>
          <rPr>
            <sz val="18"/>
            <color indexed="81"/>
            <rFont val="Segoe UI"/>
            <family val="2"/>
          </rPr>
          <t xml:space="preserve">DEVE respeitar a correlação entre a ação estratégica e os objetivos estratégicos, conforme a aba - Ações estratégicas.
</t>
        </r>
      </text>
    </comment>
    <comment ref="E285" authorId="0" shapeId="0" xr:uid="{00000000-0006-0000-0900-000018000000}">
      <text>
        <r>
          <rPr>
            <b/>
            <sz val="18"/>
            <color indexed="81"/>
            <rFont val="Segoe UI"/>
            <family val="2"/>
          </rPr>
          <t xml:space="preserve">Valores conforme a execução orçamentária do SISCONT.NET. </t>
        </r>
        <r>
          <rPr>
            <sz val="18"/>
            <color indexed="81"/>
            <rFont val="Segoe UI"/>
            <family val="2"/>
          </rPr>
          <t xml:space="preserve">
</t>
        </r>
      </text>
    </comment>
    <comment ref="C300" authorId="0" shapeId="0" xr:uid="{00000000-0006-0000-0900-000019000000}">
      <text>
        <r>
          <rPr>
            <sz val="18"/>
            <color indexed="81"/>
            <rFont val="Segoe UI"/>
            <family val="2"/>
          </rPr>
          <t xml:space="preserve">DEVE respeitar a correlação entre a ação estratégica e os objetivos estratégicos, conforme a aba - Ações estratégicas.
</t>
        </r>
      </text>
    </comment>
    <comment ref="E300" authorId="0" shapeId="0" xr:uid="{00000000-0006-0000-0900-00001A000000}">
      <text>
        <r>
          <rPr>
            <b/>
            <sz val="18"/>
            <color indexed="81"/>
            <rFont val="Segoe UI"/>
            <family val="2"/>
          </rPr>
          <t xml:space="preserve">Valores conforme a execução orçamentária do SISCONT.NET. </t>
        </r>
        <r>
          <rPr>
            <sz val="18"/>
            <color indexed="81"/>
            <rFont val="Segoe UI"/>
            <family val="2"/>
          </rPr>
          <t xml:space="preserve">
</t>
        </r>
      </text>
    </comment>
    <comment ref="C315" authorId="0" shapeId="0" xr:uid="{00000000-0006-0000-0900-00001B000000}">
      <text>
        <r>
          <rPr>
            <sz val="18"/>
            <color indexed="81"/>
            <rFont val="Segoe UI"/>
            <family val="2"/>
          </rPr>
          <t xml:space="preserve">DEVE respeitar a correlação entre a ação estratégica e os objetivos estratégicos, conforme a aba - Ações estratégicas.
</t>
        </r>
      </text>
    </comment>
    <comment ref="E315" authorId="0" shapeId="0" xr:uid="{00000000-0006-0000-0900-00001C000000}">
      <text>
        <r>
          <rPr>
            <b/>
            <sz val="18"/>
            <color indexed="81"/>
            <rFont val="Segoe UI"/>
            <family val="2"/>
          </rPr>
          <t xml:space="preserve">Valores conforme a execução orçamentária do SISCONT.NET. </t>
        </r>
        <r>
          <rPr>
            <sz val="18"/>
            <color indexed="81"/>
            <rFont val="Segoe UI"/>
            <family val="2"/>
          </rPr>
          <t xml:space="preserve">
</t>
        </r>
      </text>
    </comment>
    <comment ref="C330" authorId="0" shapeId="0" xr:uid="{00000000-0006-0000-0900-00001D000000}">
      <text>
        <r>
          <rPr>
            <sz val="18"/>
            <color indexed="81"/>
            <rFont val="Segoe UI"/>
            <family val="2"/>
          </rPr>
          <t xml:space="preserve">DEVE respeitar a correlação entre a ação estratégica e os objetivos estratégicos, conforme a aba - Ações estratégicas.
</t>
        </r>
      </text>
    </comment>
    <comment ref="E330" authorId="0" shapeId="0" xr:uid="{00000000-0006-0000-0900-00001E000000}">
      <text>
        <r>
          <rPr>
            <b/>
            <sz val="18"/>
            <color indexed="81"/>
            <rFont val="Segoe UI"/>
            <family val="2"/>
          </rPr>
          <t xml:space="preserve">Valores conforme a execução orçamentária do SISCONT.NET. </t>
        </r>
        <r>
          <rPr>
            <sz val="18"/>
            <color indexed="81"/>
            <rFont val="Segoe UI"/>
            <family val="2"/>
          </rPr>
          <t xml:space="preserve">
</t>
        </r>
      </text>
    </comment>
    <comment ref="C345" authorId="0" shapeId="0" xr:uid="{00000000-0006-0000-0900-00001F000000}">
      <text>
        <r>
          <rPr>
            <sz val="18"/>
            <color indexed="81"/>
            <rFont val="Segoe UI"/>
            <family val="2"/>
          </rPr>
          <t xml:space="preserve">DEVE respeitar a correlação entre a ação estratégica e os objetivos estratégicos, conforme a aba - Ações estratégicas.
</t>
        </r>
      </text>
    </comment>
    <comment ref="E345" authorId="0" shapeId="0" xr:uid="{00000000-0006-0000-0900-000020000000}">
      <text>
        <r>
          <rPr>
            <b/>
            <sz val="18"/>
            <color indexed="81"/>
            <rFont val="Segoe UI"/>
            <family val="2"/>
          </rPr>
          <t xml:space="preserve">Valores conforme a execução orçamentária do SISCONT.NET. </t>
        </r>
        <r>
          <rPr>
            <sz val="18"/>
            <color indexed="81"/>
            <rFont val="Segoe UI"/>
            <family val="2"/>
          </rPr>
          <t xml:space="preserve">
</t>
        </r>
      </text>
    </comment>
    <comment ref="C360" authorId="0" shapeId="0" xr:uid="{00000000-0006-0000-0900-000021000000}">
      <text>
        <r>
          <rPr>
            <sz val="18"/>
            <color indexed="81"/>
            <rFont val="Segoe UI"/>
            <family val="2"/>
          </rPr>
          <t xml:space="preserve">DEVE respeitar a correlação entre a ação estratégica e os objetivos estratégicos, conforme a aba - Ações estratégicas.
</t>
        </r>
      </text>
    </comment>
    <comment ref="E360" authorId="0" shapeId="0" xr:uid="{00000000-0006-0000-0900-000022000000}">
      <text>
        <r>
          <rPr>
            <b/>
            <sz val="18"/>
            <color indexed="81"/>
            <rFont val="Segoe UI"/>
            <family val="2"/>
          </rPr>
          <t xml:space="preserve">Valores conforme a execução orçamentária do SISCONT.NET. </t>
        </r>
        <r>
          <rPr>
            <sz val="18"/>
            <color indexed="81"/>
            <rFont val="Segoe UI"/>
            <family val="2"/>
          </rPr>
          <t xml:space="preserve">
</t>
        </r>
      </text>
    </comment>
    <comment ref="C379" authorId="0" shapeId="0" xr:uid="{00000000-0006-0000-0900-000023000000}">
      <text>
        <r>
          <rPr>
            <sz val="18"/>
            <color indexed="81"/>
            <rFont val="Segoe UI"/>
            <family val="2"/>
          </rPr>
          <t xml:space="preserve">DEVE respeitar a correlação entre a ação estratégica e os objetivos estratégicos, conforme a aba - Ações estratégicas.
</t>
        </r>
      </text>
    </comment>
    <comment ref="E379" authorId="0" shapeId="0" xr:uid="{00000000-0006-0000-0900-000024000000}">
      <text>
        <r>
          <rPr>
            <b/>
            <sz val="18"/>
            <color indexed="81"/>
            <rFont val="Segoe UI"/>
            <family val="2"/>
          </rPr>
          <t xml:space="preserve">Valores conforme a execução orçamentária do SISCONT.NET. </t>
        </r>
        <r>
          <rPr>
            <sz val="18"/>
            <color indexed="81"/>
            <rFont val="Segoe UI"/>
            <family val="2"/>
          </rPr>
          <t xml:space="preserve">
</t>
        </r>
      </text>
    </comment>
    <comment ref="C391" authorId="0" shapeId="0" xr:uid="{00000000-0006-0000-0900-000025000000}">
      <text>
        <r>
          <rPr>
            <sz val="18"/>
            <color indexed="81"/>
            <rFont val="Segoe UI"/>
            <family val="2"/>
          </rPr>
          <t xml:space="preserve">DEVE respeitar a correlação entre a ação estratégica e os objetivos estratégicos, conforme a aba - Ações estratégicas.
</t>
        </r>
      </text>
    </comment>
    <comment ref="E391" authorId="0" shapeId="0" xr:uid="{00000000-0006-0000-0900-000026000000}">
      <text>
        <r>
          <rPr>
            <b/>
            <sz val="18"/>
            <color indexed="81"/>
            <rFont val="Segoe UI"/>
            <family val="2"/>
          </rPr>
          <t xml:space="preserve">Valores conforme a execução orçamentária do SISCONT.NET. </t>
        </r>
        <r>
          <rPr>
            <sz val="18"/>
            <color indexed="81"/>
            <rFont val="Segoe UI"/>
            <family val="2"/>
          </rPr>
          <t xml:space="preserve">
</t>
        </r>
      </text>
    </comment>
    <comment ref="C403" authorId="0" shapeId="0" xr:uid="{00000000-0006-0000-0900-000027000000}">
      <text>
        <r>
          <rPr>
            <sz val="18"/>
            <color indexed="81"/>
            <rFont val="Segoe UI"/>
            <family val="2"/>
          </rPr>
          <t xml:space="preserve">DEVE respeitar a correlação entre a ação estratégica e os objetivos estratégicos, conforme a aba - Ações estratégicas.
</t>
        </r>
      </text>
    </comment>
    <comment ref="E403" authorId="0" shapeId="0" xr:uid="{00000000-0006-0000-0900-000028000000}">
      <text>
        <r>
          <rPr>
            <b/>
            <sz val="18"/>
            <color indexed="81"/>
            <rFont val="Segoe UI"/>
            <family val="2"/>
          </rPr>
          <t xml:space="preserve">Valores conforme a execução orçamentária do SISCONT.NET. </t>
        </r>
        <r>
          <rPr>
            <sz val="18"/>
            <color indexed="81"/>
            <rFont val="Segoe UI"/>
            <family val="2"/>
          </rPr>
          <t xml:space="preserve">
</t>
        </r>
      </text>
    </comment>
    <comment ref="C415" authorId="0" shapeId="0" xr:uid="{00000000-0006-0000-0900-000029000000}">
      <text>
        <r>
          <rPr>
            <sz val="18"/>
            <color indexed="81"/>
            <rFont val="Segoe UI"/>
            <family val="2"/>
          </rPr>
          <t xml:space="preserve">DEVE respeitar a correlação entre a ação estratégica e os objetivos estratégicos, conforme a aba - Ações estratégicas.
</t>
        </r>
      </text>
    </comment>
    <comment ref="E415" authorId="0" shapeId="0" xr:uid="{00000000-0006-0000-0900-00002A000000}">
      <text>
        <r>
          <rPr>
            <b/>
            <sz val="18"/>
            <color indexed="81"/>
            <rFont val="Segoe UI"/>
            <family val="2"/>
          </rPr>
          <t xml:space="preserve">Valores conforme a execução orçamentária do SISCONT.NET. </t>
        </r>
        <r>
          <rPr>
            <sz val="18"/>
            <color indexed="81"/>
            <rFont val="Segoe UI"/>
            <family val="2"/>
          </rPr>
          <t xml:space="preserve">
</t>
        </r>
      </text>
    </comment>
    <comment ref="C428" authorId="0" shapeId="0" xr:uid="{00000000-0006-0000-0900-00002B000000}">
      <text>
        <r>
          <rPr>
            <sz val="18"/>
            <color indexed="81"/>
            <rFont val="Segoe UI"/>
            <family val="2"/>
          </rPr>
          <t xml:space="preserve">DEVE respeitar a correlação entre a ação estratégica e os objetivos estratégicos, conforme a aba - Ações estratégicas.
</t>
        </r>
      </text>
    </comment>
    <comment ref="E428" authorId="0" shapeId="0" xr:uid="{00000000-0006-0000-0900-00002C000000}">
      <text>
        <r>
          <rPr>
            <b/>
            <sz val="18"/>
            <color indexed="81"/>
            <rFont val="Segoe UI"/>
            <family val="2"/>
          </rPr>
          <t xml:space="preserve">Valores conforme a execução orçamentária do SISCONT.NET. </t>
        </r>
        <r>
          <rPr>
            <sz val="18"/>
            <color indexed="81"/>
            <rFont val="Segoe UI"/>
            <family val="2"/>
          </rPr>
          <t xml:space="preserve">
</t>
        </r>
      </text>
    </comment>
    <comment ref="C453" authorId="0" shapeId="0" xr:uid="{00000000-0006-0000-0900-00002D000000}">
      <text>
        <r>
          <rPr>
            <sz val="18"/>
            <color indexed="81"/>
            <rFont val="Segoe UI"/>
            <family val="2"/>
          </rPr>
          <t xml:space="preserve">DEVE respeitar a correlação entre a ação estratégica e os objetivos estratégicos, conforme a aba - Ações estratégicas.
</t>
        </r>
      </text>
    </comment>
    <comment ref="E453" authorId="0" shapeId="0" xr:uid="{00000000-0006-0000-0900-00002E000000}">
      <text>
        <r>
          <rPr>
            <b/>
            <sz val="18"/>
            <color indexed="81"/>
            <rFont val="Segoe UI"/>
            <family val="2"/>
          </rPr>
          <t xml:space="preserve">Valores conforme a execução orçamentária do SISCONT.NET. </t>
        </r>
        <r>
          <rPr>
            <sz val="18"/>
            <color indexed="81"/>
            <rFont val="Segoe UI"/>
            <family val="2"/>
          </rPr>
          <t xml:space="preserve">
</t>
        </r>
      </text>
    </comment>
    <comment ref="C472" authorId="0" shapeId="0" xr:uid="{00000000-0006-0000-0900-00002F000000}">
      <text>
        <r>
          <rPr>
            <sz val="18"/>
            <color indexed="81"/>
            <rFont val="Segoe UI"/>
            <family val="2"/>
          </rPr>
          <t xml:space="preserve">DEVE respeitar a correlação entre a ação estratégica e os objetivos estratégicos, conforme a aba - Ações estratégicas.
</t>
        </r>
      </text>
    </comment>
    <comment ref="E472" authorId="0" shapeId="0" xr:uid="{00000000-0006-0000-0900-000030000000}">
      <text>
        <r>
          <rPr>
            <b/>
            <sz val="18"/>
            <color indexed="81"/>
            <rFont val="Segoe UI"/>
            <family val="2"/>
          </rPr>
          <t xml:space="preserve">Valores conforme a execução orçamentária do SISCONT.NET. </t>
        </r>
        <r>
          <rPr>
            <sz val="18"/>
            <color indexed="81"/>
            <rFont val="Segoe UI"/>
            <family val="2"/>
          </rPr>
          <t xml:space="preserve">
</t>
        </r>
      </text>
    </comment>
    <comment ref="C490" authorId="0" shapeId="0" xr:uid="{00000000-0006-0000-0900-000031000000}">
      <text>
        <r>
          <rPr>
            <sz val="18"/>
            <color indexed="81"/>
            <rFont val="Segoe UI"/>
            <family val="2"/>
          </rPr>
          <t xml:space="preserve">DEVE respeitar a correlação entre a ação estratégica e os objetivos estratégicos, conforme a aba - Ações estratégicas.
</t>
        </r>
      </text>
    </comment>
    <comment ref="E490" authorId="0" shapeId="0" xr:uid="{00000000-0006-0000-0900-000032000000}">
      <text>
        <r>
          <rPr>
            <b/>
            <sz val="18"/>
            <color indexed="81"/>
            <rFont val="Segoe UI"/>
            <family val="2"/>
          </rPr>
          <t xml:space="preserve">Valores conforme a execução orçamentária do SISCONT.NET. </t>
        </r>
        <r>
          <rPr>
            <sz val="18"/>
            <color indexed="81"/>
            <rFont val="Segoe UI"/>
            <family val="2"/>
          </rPr>
          <t xml:space="preserve">
</t>
        </r>
      </text>
    </comment>
    <comment ref="C503" authorId="0" shapeId="0" xr:uid="{00000000-0006-0000-0900-000033000000}">
      <text>
        <r>
          <rPr>
            <sz val="18"/>
            <color indexed="81"/>
            <rFont val="Segoe UI"/>
            <family val="2"/>
          </rPr>
          <t xml:space="preserve">DEVE respeitar a correlação entre a ação estratégica e os objetivos estratégicos, conforme a aba - Ações estratégicas.
</t>
        </r>
      </text>
    </comment>
    <comment ref="E503" authorId="0" shapeId="0" xr:uid="{00000000-0006-0000-0900-000034000000}">
      <text>
        <r>
          <rPr>
            <b/>
            <sz val="18"/>
            <color indexed="81"/>
            <rFont val="Segoe UI"/>
            <family val="2"/>
          </rPr>
          <t xml:space="preserve">Valores conforme a execução orçamentária do SISCONT.NET. </t>
        </r>
        <r>
          <rPr>
            <sz val="18"/>
            <color indexed="81"/>
            <rFont val="Segoe UI"/>
            <family val="2"/>
          </rPr>
          <t xml:space="preserve">
</t>
        </r>
      </text>
    </comment>
    <comment ref="C520" authorId="0" shapeId="0" xr:uid="{00000000-0006-0000-0900-000035000000}">
      <text>
        <r>
          <rPr>
            <sz val="18"/>
            <color indexed="81"/>
            <rFont val="Segoe UI"/>
            <family val="2"/>
          </rPr>
          <t xml:space="preserve">DEVE respeitar a correlação entre a ação estratégica e os objetivos estratégicos, conforme a aba - Ações estratégicas.
</t>
        </r>
      </text>
    </comment>
    <comment ref="E520" authorId="0" shapeId="0" xr:uid="{00000000-0006-0000-0900-000036000000}">
      <text>
        <r>
          <rPr>
            <b/>
            <sz val="18"/>
            <color indexed="81"/>
            <rFont val="Segoe UI"/>
            <family val="2"/>
          </rPr>
          <t xml:space="preserve">Valores conforme a execução orçamentária do SISCONT.NET. </t>
        </r>
        <r>
          <rPr>
            <sz val="18"/>
            <color indexed="81"/>
            <rFont val="Segoe UI"/>
            <family val="2"/>
          </rPr>
          <t xml:space="preserve">
</t>
        </r>
      </text>
    </comment>
    <comment ref="C539" authorId="0" shapeId="0" xr:uid="{00000000-0006-0000-0900-000037000000}">
      <text>
        <r>
          <rPr>
            <sz val="18"/>
            <color indexed="81"/>
            <rFont val="Segoe UI"/>
            <family val="2"/>
          </rPr>
          <t xml:space="preserve">DEVE respeitar a correlação entre a ação estratégica e os objetivos estratégicos, conforme a aba - Ações estratégicas.
</t>
        </r>
      </text>
    </comment>
    <comment ref="E539" authorId="0" shapeId="0" xr:uid="{00000000-0006-0000-0900-000038000000}">
      <text>
        <r>
          <rPr>
            <b/>
            <sz val="18"/>
            <color indexed="81"/>
            <rFont val="Segoe UI"/>
            <family val="2"/>
          </rPr>
          <t xml:space="preserve">Valores conforme a execução orçamentária do SISCONT.NET. </t>
        </r>
        <r>
          <rPr>
            <sz val="18"/>
            <color indexed="81"/>
            <rFont val="Segoe UI"/>
            <family val="2"/>
          </rPr>
          <t xml:space="preserve">
</t>
        </r>
      </text>
    </comment>
    <comment ref="C563" authorId="0" shapeId="0" xr:uid="{00000000-0006-0000-0900-000039000000}">
      <text>
        <r>
          <rPr>
            <sz val="18"/>
            <color indexed="81"/>
            <rFont val="Segoe UI"/>
            <family val="2"/>
          </rPr>
          <t xml:space="preserve">DEVE respeitar a correlação entre a ação estratégica e os objetivos estratégicos, conforme a aba - Ações estratégicas.
</t>
        </r>
      </text>
    </comment>
    <comment ref="E563" authorId="0" shapeId="0" xr:uid="{00000000-0006-0000-0900-00003A000000}">
      <text>
        <r>
          <rPr>
            <b/>
            <sz val="18"/>
            <color indexed="81"/>
            <rFont val="Segoe UI"/>
            <family val="2"/>
          </rPr>
          <t xml:space="preserve">Valores conforme a execução orçamentária do SISCONT.NET. </t>
        </r>
        <r>
          <rPr>
            <sz val="18"/>
            <color indexed="81"/>
            <rFont val="Segoe UI"/>
            <family val="2"/>
          </rPr>
          <t xml:space="preserve">
</t>
        </r>
      </text>
    </comment>
    <comment ref="C580" authorId="0" shapeId="0" xr:uid="{00000000-0006-0000-0900-00003B000000}">
      <text>
        <r>
          <rPr>
            <sz val="18"/>
            <color indexed="81"/>
            <rFont val="Segoe UI"/>
            <family val="2"/>
          </rPr>
          <t xml:space="preserve">DEVE respeitar a correlação entre a ação estratégica e os objetivos estratégicos, conforme a aba - Ações estratégicas.
</t>
        </r>
      </text>
    </comment>
    <comment ref="E580" authorId="0" shapeId="0" xr:uid="{00000000-0006-0000-0900-00003C000000}">
      <text>
        <r>
          <rPr>
            <b/>
            <sz val="18"/>
            <color indexed="81"/>
            <rFont val="Segoe UI"/>
            <family val="2"/>
          </rPr>
          <t xml:space="preserve">Valores conforme a execução orçamentária do SISCONT.NET. </t>
        </r>
        <r>
          <rPr>
            <sz val="18"/>
            <color indexed="81"/>
            <rFont val="Segoe UI"/>
            <family val="2"/>
          </rPr>
          <t xml:space="preserve">
</t>
        </r>
      </text>
    </comment>
    <comment ref="C593" authorId="0" shapeId="0" xr:uid="{00000000-0006-0000-0900-00003D000000}">
      <text>
        <r>
          <rPr>
            <sz val="18"/>
            <color indexed="81"/>
            <rFont val="Segoe UI"/>
            <family val="2"/>
          </rPr>
          <t xml:space="preserve">DEVE respeitar a correlação entre a ação estratégica e os objetivos estratégicos, conforme a aba - Ações estratégicas.
</t>
        </r>
      </text>
    </comment>
    <comment ref="E593" authorId="0" shapeId="0" xr:uid="{00000000-0006-0000-0900-00003E000000}">
      <text>
        <r>
          <rPr>
            <b/>
            <sz val="18"/>
            <color indexed="81"/>
            <rFont val="Segoe UI"/>
            <family val="2"/>
          </rPr>
          <t xml:space="preserve">Valores conforme a execução orçamentária do SISCONT.NET. </t>
        </r>
        <r>
          <rPr>
            <sz val="18"/>
            <color indexed="81"/>
            <rFont val="Segoe UI"/>
            <family val="2"/>
          </rPr>
          <t xml:space="preserve">
</t>
        </r>
      </text>
    </comment>
    <comment ref="C605" authorId="0" shapeId="0" xr:uid="{00000000-0006-0000-0900-00003F000000}">
      <text>
        <r>
          <rPr>
            <sz val="18"/>
            <color indexed="81"/>
            <rFont val="Segoe UI"/>
            <family val="2"/>
          </rPr>
          <t xml:space="preserve">DEVE respeitar a correlação entre a ação estratégica e os objetivos estratégicos, conforme a aba - Ações estratégicas.
</t>
        </r>
      </text>
    </comment>
    <comment ref="E605" authorId="0" shapeId="0" xr:uid="{00000000-0006-0000-0900-000040000000}">
      <text>
        <r>
          <rPr>
            <b/>
            <sz val="18"/>
            <color indexed="81"/>
            <rFont val="Segoe UI"/>
            <family val="2"/>
          </rPr>
          <t xml:space="preserve">Valores conforme a execução orçamentária do SISCONT.NET. </t>
        </r>
        <r>
          <rPr>
            <sz val="18"/>
            <color indexed="81"/>
            <rFont val="Segoe UI"/>
            <family val="2"/>
          </rPr>
          <t xml:space="preserve">
</t>
        </r>
      </text>
    </comment>
    <comment ref="C620" authorId="0" shapeId="0" xr:uid="{00000000-0006-0000-0900-000041000000}">
      <text>
        <r>
          <rPr>
            <sz val="18"/>
            <color indexed="81"/>
            <rFont val="Segoe UI"/>
            <family val="2"/>
          </rPr>
          <t xml:space="preserve">DEVE respeitar a correlação entre a ação estratégica e os objetivos estratégicos, conforme a aba - Ações estratégicas.
</t>
        </r>
      </text>
    </comment>
    <comment ref="E620" authorId="0" shapeId="0" xr:uid="{00000000-0006-0000-0900-000042000000}">
      <text>
        <r>
          <rPr>
            <b/>
            <sz val="18"/>
            <color indexed="81"/>
            <rFont val="Segoe UI"/>
            <family val="2"/>
          </rPr>
          <t xml:space="preserve">Valores conforme a execução orçamentária do SISCONT.NET. </t>
        </r>
        <r>
          <rPr>
            <sz val="18"/>
            <color indexed="81"/>
            <rFont val="Segoe UI"/>
            <family val="2"/>
          </rPr>
          <t xml:space="preserve">
</t>
        </r>
      </text>
    </comment>
    <comment ref="C635" authorId="0" shapeId="0" xr:uid="{00000000-0006-0000-0900-000043000000}">
      <text>
        <r>
          <rPr>
            <sz val="18"/>
            <color indexed="81"/>
            <rFont val="Segoe UI"/>
            <family val="2"/>
          </rPr>
          <t xml:space="preserve">DEVE respeitar a correlação entre a ação estratégica e os objetivos estratégicos, conforme a aba - Ações estratégicas.
</t>
        </r>
      </text>
    </comment>
    <comment ref="E635" authorId="0" shapeId="0" xr:uid="{00000000-0006-0000-0900-000044000000}">
      <text>
        <r>
          <rPr>
            <b/>
            <sz val="18"/>
            <color indexed="81"/>
            <rFont val="Segoe UI"/>
            <family val="2"/>
          </rPr>
          <t xml:space="preserve">Valores conforme a execução orçamentária do SISCONT.NET. </t>
        </r>
        <r>
          <rPr>
            <sz val="18"/>
            <color indexed="81"/>
            <rFont val="Segoe UI"/>
            <family val="2"/>
          </rPr>
          <t xml:space="preserve">
</t>
        </r>
      </text>
    </comment>
    <comment ref="C658" authorId="0" shapeId="0" xr:uid="{00000000-0006-0000-0900-000045000000}">
      <text>
        <r>
          <rPr>
            <sz val="18"/>
            <color indexed="81"/>
            <rFont val="Segoe UI"/>
            <family val="2"/>
          </rPr>
          <t xml:space="preserve">DEVE respeitar a correlação entre a ação estratégica e os objetivos estratégicos, conforme a aba - Ações estratégicas.
</t>
        </r>
      </text>
    </comment>
    <comment ref="E658" authorId="0" shapeId="0" xr:uid="{00000000-0006-0000-0900-000046000000}">
      <text>
        <r>
          <rPr>
            <b/>
            <sz val="18"/>
            <color indexed="81"/>
            <rFont val="Segoe UI"/>
            <family val="2"/>
          </rPr>
          <t xml:space="preserve">Valores conforme a execução orçamentária do SISCONT.NET. </t>
        </r>
        <r>
          <rPr>
            <sz val="18"/>
            <color indexed="81"/>
            <rFont val="Segoe UI"/>
            <family val="2"/>
          </rPr>
          <t xml:space="preserve">
</t>
        </r>
      </text>
    </comment>
    <comment ref="C670" authorId="0" shapeId="0" xr:uid="{00000000-0006-0000-0900-000047000000}">
      <text>
        <r>
          <rPr>
            <sz val="18"/>
            <color indexed="81"/>
            <rFont val="Segoe UI"/>
            <family val="2"/>
          </rPr>
          <t xml:space="preserve">DEVE respeitar a correlação entre a ação estratégica e os objetivos estratégicos, conforme a aba - Ações estratégicas.
</t>
        </r>
      </text>
    </comment>
    <comment ref="E670" authorId="0" shapeId="0" xr:uid="{00000000-0006-0000-0900-000048000000}">
      <text>
        <r>
          <rPr>
            <b/>
            <sz val="18"/>
            <color indexed="81"/>
            <rFont val="Segoe UI"/>
            <family val="2"/>
          </rPr>
          <t xml:space="preserve">Valores conforme a execução orçamentária do SISCONT.NET. </t>
        </r>
        <r>
          <rPr>
            <sz val="18"/>
            <color indexed="81"/>
            <rFont val="Segoe UI"/>
            <family val="2"/>
          </rPr>
          <t xml:space="preserve">
</t>
        </r>
      </text>
    </comment>
    <comment ref="C682" authorId="0" shapeId="0" xr:uid="{00000000-0006-0000-0900-000049000000}">
      <text>
        <r>
          <rPr>
            <sz val="18"/>
            <color indexed="81"/>
            <rFont val="Segoe UI"/>
            <family val="2"/>
          </rPr>
          <t xml:space="preserve">DEVE respeitar a correlação entre a ação estratégica e os objetivos estratégicos, conforme a aba - Ações estratégicas.
</t>
        </r>
      </text>
    </comment>
    <comment ref="E682" authorId="0" shapeId="0" xr:uid="{00000000-0006-0000-0900-00004A000000}">
      <text>
        <r>
          <rPr>
            <b/>
            <sz val="18"/>
            <color indexed="81"/>
            <rFont val="Segoe UI"/>
            <family val="2"/>
          </rPr>
          <t xml:space="preserve">Valores conforme a execução orçamentária do SISCONT.NET. </t>
        </r>
        <r>
          <rPr>
            <sz val="18"/>
            <color indexed="81"/>
            <rFont val="Segoe UI"/>
            <family val="2"/>
          </rPr>
          <t xml:space="preserve">
</t>
        </r>
      </text>
    </comment>
    <comment ref="C698" authorId="0" shapeId="0" xr:uid="{00000000-0006-0000-0900-00004B000000}">
      <text>
        <r>
          <rPr>
            <sz val="18"/>
            <color indexed="81"/>
            <rFont val="Segoe UI"/>
            <family val="2"/>
          </rPr>
          <t xml:space="preserve">DEVE respeitar a correlação entre a ação estratégica e os objetivos estratégicos, conforme a aba - Ações estratégicas.
</t>
        </r>
      </text>
    </comment>
    <comment ref="E698" authorId="0" shapeId="0" xr:uid="{00000000-0006-0000-0900-00004C000000}">
      <text>
        <r>
          <rPr>
            <b/>
            <sz val="18"/>
            <color indexed="81"/>
            <rFont val="Segoe UI"/>
            <family val="2"/>
          </rPr>
          <t xml:space="preserve">Valores conforme a execução orçamentária do SISCONT.NET. </t>
        </r>
        <r>
          <rPr>
            <sz val="18"/>
            <color indexed="81"/>
            <rFont val="Segoe UI"/>
            <family val="2"/>
          </rPr>
          <t xml:space="preserve">
</t>
        </r>
      </text>
    </comment>
    <comment ref="C710" authorId="0" shapeId="0" xr:uid="{00000000-0006-0000-0900-00004D000000}">
      <text>
        <r>
          <rPr>
            <sz val="18"/>
            <color indexed="81"/>
            <rFont val="Segoe UI"/>
            <family val="2"/>
          </rPr>
          <t xml:space="preserve">DEVE respeitar a correlação entre a ação estratégica e os objetivos estratégicos, conforme a aba - Ações estratégicas.
</t>
        </r>
      </text>
    </comment>
    <comment ref="E710" authorId="0" shapeId="0" xr:uid="{00000000-0006-0000-0900-00004E000000}">
      <text>
        <r>
          <rPr>
            <b/>
            <sz val="18"/>
            <color indexed="81"/>
            <rFont val="Segoe UI"/>
            <family val="2"/>
          </rPr>
          <t xml:space="preserve">Valores conforme a execução orçamentária do SISCONT.NET. </t>
        </r>
        <r>
          <rPr>
            <sz val="18"/>
            <color indexed="81"/>
            <rFont val="Segoe UI"/>
            <family val="2"/>
          </rPr>
          <t xml:space="preserve">
</t>
        </r>
      </text>
    </comment>
  </commentList>
</comments>
</file>

<file path=xl/sharedStrings.xml><?xml version="1.0" encoding="utf-8"?>
<sst xmlns="http://schemas.openxmlformats.org/spreadsheetml/2006/main" count="2572" uniqueCount="907">
  <si>
    <t>Total</t>
  </si>
  <si>
    <t>Pessoal</t>
  </si>
  <si>
    <t>Imobilizado</t>
  </si>
  <si>
    <t>Variação</t>
  </si>
  <si>
    <t>Unidade Responsável</t>
  </si>
  <si>
    <t>Denominação</t>
  </si>
  <si>
    <t>TOTAL</t>
  </si>
  <si>
    <t>Especificação</t>
  </si>
  <si>
    <t>I - FONTES</t>
  </si>
  <si>
    <t>1. Receitas Correntes</t>
  </si>
  <si>
    <t>1.1.1 Anuidades</t>
  </si>
  <si>
    <t>1.1.1.1 Pessoa Física</t>
  </si>
  <si>
    <t>1.1.1.2 Pessoa Jurídica</t>
  </si>
  <si>
    <t>1.2 Aplicações Financeiras</t>
  </si>
  <si>
    <t>1.4 Fundo de Apoio</t>
  </si>
  <si>
    <t>2 Receitas de Capital</t>
  </si>
  <si>
    <t>2.1 Saldos de Exercícios Anteriores (Superávit Financeiro)</t>
  </si>
  <si>
    <t xml:space="preserve"> I – TOTAL</t>
  </si>
  <si>
    <t>II.1 Programação Operacional</t>
  </si>
  <si>
    <t>Projetos</t>
  </si>
  <si>
    <t>II.2 Aportes ao Fundo de Apoio</t>
  </si>
  <si>
    <t>II – TOTAL</t>
  </si>
  <si>
    <t>VARIAÇÃO (I-II)</t>
  </si>
  <si>
    <t>Valores em R$ 1,00</t>
  </si>
  <si>
    <t xml:space="preserve">Variação                                                      </t>
  </si>
  <si>
    <t>II.4 Reserva de Contingência</t>
  </si>
  <si>
    <t>Impactar significativamente o planejamento e a gestão do território</t>
  </si>
  <si>
    <t>Tornar a fiscalização um vetor de melhoria do exercício da Arquitetura e Urbanismo</t>
  </si>
  <si>
    <t>Assegurar a eficácia no atendimento e no relacionamento com os arquitetos e urbanistas e a sociedade</t>
  </si>
  <si>
    <t>Estimular o conhecimento, o uso de processos criativos e a difusão das melhores práticas em Arquitetura e Urbanismo</t>
  </si>
  <si>
    <t>Garantir a participação dos arquitetos e urbanistas no planejamento territorial e na gestão urbana</t>
  </si>
  <si>
    <t>Estimular a produção da arquitetura e urbanismo como política de Estado</t>
  </si>
  <si>
    <t>Assegurar a eficácia no relacionamento e comunicação com a sociedade</t>
  </si>
  <si>
    <t>Promover o exercício ético e qualificado da profissão</t>
  </si>
  <si>
    <t>Fomentar o acesso da sociedade à Arquitetura e Urbanismo</t>
  </si>
  <si>
    <t>Assegurar a sustentabilidade financeira</t>
  </si>
  <si>
    <t>Aprimorar e inovar os processos e as ações</t>
  </si>
  <si>
    <t>Desenvolver competências de dirigentes e colaboradores</t>
  </si>
  <si>
    <t>Construir cultura organizacional adequada à estratégia</t>
  </si>
  <si>
    <t>Ter sistemas de informação e infraestrutura que viabilizem a gestão e o atendimento dos arquitetos e urbanistas e a sociedade</t>
  </si>
  <si>
    <t>Indicadores Institucionais e de Resultado (agrupados por objetivo estratégico) - Metas</t>
  </si>
  <si>
    <t>Objetivo Estratégico Principal</t>
  </si>
  <si>
    <t>MAPA ESTRATÉGICO CAU/UF</t>
  </si>
  <si>
    <t>Denominação (Projeto/Atividade)</t>
  </si>
  <si>
    <t>Material de Consumo</t>
  </si>
  <si>
    <t>Serviços de Terceiros</t>
  </si>
  <si>
    <t>Encargos Diversos</t>
  </si>
  <si>
    <t>Soma</t>
  </si>
  <si>
    <t>% Part.</t>
  </si>
  <si>
    <t>Diárias</t>
  </si>
  <si>
    <t>Passagens</t>
  </si>
  <si>
    <t>Serviços Prestados</t>
  </si>
  <si>
    <t>TOTAL GERAL</t>
  </si>
  <si>
    <t>BASE DE CÁLCULO</t>
  </si>
  <si>
    <t>APLICAÇÕES DE RECURSOS</t>
  </si>
  <si>
    <t xml:space="preserve">FOLHA DE PAGAMENTO </t>
  </si>
  <si>
    <t>2. Recursos do fundo de apoio (CAU Básico)</t>
  </si>
  <si>
    <t>Valor</t>
  </si>
  <si>
    <t xml:space="preserve">% </t>
  </si>
  <si>
    <t>Variação (%)</t>
  </si>
  <si>
    <t>LIMITES</t>
  </si>
  <si>
    <t xml:space="preserve">Objetivo Geral </t>
  </si>
  <si>
    <t>CAU/UF:</t>
  </si>
  <si>
    <t>1.1.3 Taxas e Multas</t>
  </si>
  <si>
    <t xml:space="preserve">Fórmula </t>
  </si>
  <si>
    <t xml:space="preserve">Periodicidade </t>
  </si>
  <si>
    <t>B- INDICADORES DE RESULTADO</t>
  </si>
  <si>
    <t>A- INDICADORES INSTITUCIONAIS</t>
  </si>
  <si>
    <t xml:space="preserve">II.3 Aporte ao CSC </t>
  </si>
  <si>
    <t>Atividades</t>
  </si>
  <si>
    <t>Orientação: As células em cinza estão vinculadas com fórmulas, não devem ser preenchidas.</t>
  </si>
  <si>
    <t>B. Valor total das rescisões contratuais, auxílio alimentação, auxílio transporte, plano de saúde e demais benefícios.</t>
  </si>
  <si>
    <t>3. Soma (1+2)</t>
  </si>
  <si>
    <t>C. Receitas Correntes</t>
  </si>
  <si>
    <t>4. Aportes ao Fundo de Apoio</t>
  </si>
  <si>
    <t>Pessoal e Encargos</t>
  </si>
  <si>
    <t>A. Pessoal e Encargos (Valores totais)</t>
  </si>
  <si>
    <t>Denominação do Projeto ou Atividade :</t>
  </si>
  <si>
    <t>1. QUADRO GERAL</t>
  </si>
  <si>
    <t>Resultado</t>
  </si>
  <si>
    <t>1.1.3 RRT</t>
  </si>
  <si>
    <t xml:space="preserve">BASE DE CÁLCULO </t>
  </si>
  <si>
    <t xml:space="preserve">Variação </t>
  </si>
  <si>
    <t>Metas Físicas</t>
  </si>
  <si>
    <t xml:space="preserve">CATEGORIA ECONÔMICA </t>
  </si>
  <si>
    <t>Corrente</t>
  </si>
  <si>
    <t xml:space="preserve">Capital </t>
  </si>
  <si>
    <t xml:space="preserve">FONTES </t>
  </si>
  <si>
    <t>USOS</t>
  </si>
  <si>
    <t>Variação % 
(C=B/A)</t>
  </si>
  <si>
    <t>5.  Receita da Arrecadação Líquida (RAL = 3 - 4)</t>
  </si>
  <si>
    <t>Anual</t>
  </si>
  <si>
    <t>Trimestral</t>
  </si>
  <si>
    <t>1.1.1.1.2 Anuidade Exercícios anteriores</t>
  </si>
  <si>
    <t>1.1.1.2.2 Anuidade Exercícios anteriores</t>
  </si>
  <si>
    <t>4) Atentar as orientações em amarelo em cada aba da Planilha .</t>
  </si>
  <si>
    <t>OBS: No item da categoria dos "Usos Correntes", deverão ser considerados os valores dos Aportes ao Fundo de Apoio, ao CSC , e à Reserva de Contingência.</t>
  </si>
  <si>
    <t>1.1 Receitas de Arrecadação Total</t>
  </si>
  <si>
    <t>x 100</t>
  </si>
  <si>
    <t>Mensal</t>
  </si>
  <si>
    <t>Semestral</t>
  </si>
  <si>
    <t>total de notícias sobre questões de Arquitetura e Urbanismo</t>
  </si>
  <si>
    <t>total de inserções do CAU na mídia</t>
  </si>
  <si>
    <t>01 - Erradicação da pobreza</t>
  </si>
  <si>
    <t>05 - Igualdade de gênero</t>
  </si>
  <si>
    <t>08 - Trabalho decente e crescimento econômico</t>
  </si>
  <si>
    <t>10 - Redução das desigualdades</t>
  </si>
  <si>
    <t>11 - Cidades e comunidades sustentáveis</t>
  </si>
  <si>
    <t>14 - Vida na água</t>
  </si>
  <si>
    <t>16 - Paz, justiça e instituições eficazes</t>
  </si>
  <si>
    <t>17 - Parcerias e meios de implementação</t>
  </si>
  <si>
    <t>02 - Fome zero e agricultura sustentável</t>
  </si>
  <si>
    <t>03 - Saúde e bem-estar</t>
  </si>
  <si>
    <t>04 - Educação de qualidade</t>
  </si>
  <si>
    <t>06 - Água limpa e saneamento</t>
  </si>
  <si>
    <t>09 - Inovação infraestrutura</t>
  </si>
  <si>
    <t>12 - Consumo e produção responsáveis</t>
  </si>
  <si>
    <t>13 - Ação contra a mudança global do clima</t>
  </si>
  <si>
    <t>15 - Vida terrestre</t>
  </si>
  <si>
    <t xml:space="preserve">Correntes </t>
  </si>
  <si>
    <t>Capital</t>
  </si>
  <si>
    <t>I - Receitas</t>
  </si>
  <si>
    <t>II - Despesas</t>
  </si>
  <si>
    <r>
      <t>07 - Energia limpa e acessível</t>
    </r>
    <r>
      <rPr>
        <sz val="20"/>
        <color theme="1"/>
        <rFont val="Arial"/>
        <family val="2"/>
      </rPr>
      <t> </t>
    </r>
  </si>
  <si>
    <t>Ações Estratégicas Prioritárias</t>
  </si>
  <si>
    <t>OBJETIVO ESTRATÉGICO</t>
  </si>
  <si>
    <t>CLASSE</t>
  </si>
  <si>
    <t xml:space="preserve"> AÇÃO ESTRATÉGICA PRIORITÁRIA</t>
  </si>
  <si>
    <t>DESCRIÇÃO</t>
  </si>
  <si>
    <t>Assegurar a eficácia no atendimento e no relacionamento com os Arquitetos e Urbanistas e a Sociedade</t>
  </si>
  <si>
    <t>Priorizada</t>
  </si>
  <si>
    <t>Uso de aplicativos e ferramentas de comunicação para prestar atendimento mais ágil e eficiente.</t>
  </si>
  <si>
    <t>Auto-Atendimento</t>
  </si>
  <si>
    <t>Qualificação dos Canais de Atendimento</t>
  </si>
  <si>
    <t>Ações para melhorar o nível de qualidade do atendimento, em suas diversas modalidades: Presencial, Telefone, E-Mail e SICCAU e processos (Registro de PF e PJ, Atualização Cadastral, RRT)</t>
  </si>
  <si>
    <t>Ações Locais em Mídia</t>
  </si>
  <si>
    <t>Ações Nacionais em Mídia</t>
  </si>
  <si>
    <t>Realização de Campanhas nacionais de comunicação (levando em conta eventuais diferenças regionais) em temas prioritários do CAU: ATHIS, Licitações, Ensino, Valorização da Profissão.</t>
  </si>
  <si>
    <t>Atualização do Portal da Transparência</t>
  </si>
  <si>
    <t>Ações para garantir que as informações constantes no Portal da Transparência estejam devidamente atualizadas.</t>
  </si>
  <si>
    <t>Estimular a produção da Arquitetura e Urbanismo como política de Estado</t>
  </si>
  <si>
    <t>Representação em Instâncias Públicas</t>
  </si>
  <si>
    <t>Ampliação da representação de Arquitetos e Urbanistas em Conselhos Públicos, tanto em nível estadual quanto municipal, para participar e conduzir as discussões.</t>
  </si>
  <si>
    <t>Câmaras Temáticas</t>
  </si>
  <si>
    <t>Estabelecimento e consolidação de câmaras temáticas para discussão e deliberação sobre temas prioritários do CAU: Acessibilidade, Patrimônio Histórico, Estudos Urbanos, etc.)</t>
  </si>
  <si>
    <t>Editais de Patrocínio</t>
  </si>
  <si>
    <t>Capacitação em ATHIS</t>
  </si>
  <si>
    <t>Fomento das ações de capacitação em ATHIS.</t>
  </si>
  <si>
    <t>Cooperação Técnica para ATHIS</t>
  </si>
  <si>
    <t>Realização de Ações e Formalização de Acordos e Convênios de Cooperação Técnica com Entes Públicos, de acordo com a realidade de cada UF.</t>
  </si>
  <si>
    <t>Influenciar as diretrizes do ensino de Arquitetura e Urbanismo e sua formação continuada</t>
  </si>
  <si>
    <t>Ações de Melhoria da Qualidade do Ensino</t>
  </si>
  <si>
    <t>Promoção e Participação em Eventos (Seminários, Cursos, Oficinas, Palestras, Aulas Magnas, etc.) realizados por ou em conjunto com IES, bem como realização de Campanhas pela Qualidade do Ensino</t>
  </si>
  <si>
    <t>CAU nas Escolas</t>
  </si>
  <si>
    <t>Realização de ações de divulgação da Arquitetura e Urbanismo nas escolhas de ensino básico e médio.</t>
  </si>
  <si>
    <t>Audiências de Conciliação</t>
  </si>
  <si>
    <t>Realização de Audiências de Conciliação em Processos Éticos.</t>
  </si>
  <si>
    <t>Melhoria de Processo Ético</t>
  </si>
  <si>
    <t>Realizar ações de melhoria no Processo Ético (Informatização, Redesenho de Processo), incluindo os processos de apuração de denúncia.</t>
  </si>
  <si>
    <t>Palestras e campanhas sobre Aspectos Éticos</t>
  </si>
  <si>
    <t>Realização de abordando definidos e partir do estudo das condutas de maior incidência em processos éticos.</t>
  </si>
  <si>
    <t>Cooperação Técnica para Fiscalização</t>
  </si>
  <si>
    <t>Formalização de Acordos e Convênios de Cooperação Técnica com Instituições, de acordo com a realidade de cada UF.</t>
  </si>
  <si>
    <t>Plataforma de Georreferenciamento</t>
  </si>
  <si>
    <t>Concepção e Implantação de processos de trabalho que faça uso de plataforma de georreferenciamento integrado (IGEO e outras tecnologias)</t>
  </si>
  <si>
    <t>Fiscalização Orientativa</t>
  </si>
  <si>
    <t>Realização de Campanhas de Orientação, com produção de material adequado aos diversos públicos envolvidos.</t>
  </si>
  <si>
    <t>Fiscalização em Obras</t>
  </si>
  <si>
    <t>Ações de fiscalização direta em obras.</t>
  </si>
  <si>
    <t>Serviços de Terceiros- Diárias</t>
  </si>
  <si>
    <t>Serviços de Terceiros- Passagens</t>
  </si>
  <si>
    <t>Serviços de Terceiros- Serviços Prestados</t>
  </si>
  <si>
    <t>Serviços de Terceiros- Aluguéis e Encargos</t>
  </si>
  <si>
    <t>Transferências Correntes</t>
  </si>
  <si>
    <t xml:space="preserve">Objetivos de Desenvolvimento Sustentável </t>
  </si>
  <si>
    <t>2.2 Outras Receitas de Capital</t>
  </si>
  <si>
    <t>1.3 Outras Receitas Correntes</t>
  </si>
  <si>
    <t>Objetivos de Desenvolvimento Sustentável (Facultativo)</t>
  </si>
  <si>
    <t>Não se aplica</t>
  </si>
  <si>
    <t>Atendimento Eletrônico</t>
  </si>
  <si>
    <t>Valorizar a Arquitetura e Urbanismo</t>
  </si>
  <si>
    <t>Garantir a participação dos Arquitetos e Urbanistas no planejamento territorial e na gestão urbana</t>
  </si>
  <si>
    <t>Descrições das Ações</t>
  </si>
  <si>
    <t>Meta da Ação  (Quant.)</t>
  </si>
  <si>
    <t xml:space="preserve">Reserva de Contingência </t>
  </si>
  <si>
    <t>P/A/ PE</t>
  </si>
  <si>
    <t>LEGENDA: P = PROJETO/ A = ATIVIDADE/ PE: PROJETO ESPECÍFICO / FP = FUNDO DE APOIO</t>
  </si>
  <si>
    <t>AT/N/R/E/C/PE</t>
  </si>
  <si>
    <t>FA</t>
  </si>
  <si>
    <t xml:space="preserve">Part. % (G)           </t>
  </si>
  <si>
    <t>Valores
 (E=D-A)</t>
  </si>
  <si>
    <t>%       
 (F=E/A)</t>
  </si>
  <si>
    <t>Proposta de Reprogramação (D=B+C)</t>
  </si>
  <si>
    <t>número de processos éticos concluídos em um ano</t>
  </si>
  <si>
    <t>Variação
(%)</t>
  </si>
  <si>
    <t>Projetos Específicos</t>
  </si>
  <si>
    <t>II - Despesas de capital</t>
  </si>
  <si>
    <t>III - Projetos específicos</t>
  </si>
  <si>
    <t>A. Saldo IV = (I-II-III)</t>
  </si>
  <si>
    <t xml:space="preserve">A custear com Recursos do Superávit Financeiro (R$)
 (E) </t>
  </si>
  <si>
    <t>Fundo de Apoio 
 (F)</t>
  </si>
  <si>
    <t>% Utilização do Fundo de Apoio
(G=F/D)</t>
  </si>
  <si>
    <t xml:space="preserve"> Valor(R$)
(H=D-A)</t>
  </si>
  <si>
    <t>% 
(I= H/A *100)</t>
  </si>
  <si>
    <t>2. COMENTÁRIOS/JUSTIFICATIVAS:</t>
  </si>
  <si>
    <t xml:space="preserve">Não </t>
  </si>
  <si>
    <t xml:space="preserve">Deliberações importantes </t>
  </si>
  <si>
    <t>Variação % 
(F=E/D)</t>
  </si>
  <si>
    <t xml:space="preserve"> </t>
  </si>
  <si>
    <t xml:space="preserve">Fundo de Apoio </t>
  </si>
  <si>
    <t>Orientações de Preenchimento dos Elementos de Despesas:</t>
  </si>
  <si>
    <t>Orientações para preenchimento do Modelo do Plano de Ação - Reprogramação 2021</t>
  </si>
  <si>
    <t>3) Usar o arquivo da Reprogramação 2021 enviado pela GERPLAN.</t>
  </si>
  <si>
    <t xml:space="preserve">RESOLUÇÃO N° 200, DE 15 DE DEZEMBRO DE 2020
</t>
  </si>
  <si>
    <t>RESOLUÇÃO N° 193, DE 24 DE SETEMBRO DE 2020</t>
  </si>
  <si>
    <t>2) Não alterar cores, fórmulas e formatações no modelo.</t>
  </si>
  <si>
    <r>
      <t xml:space="preserve">Orientação: Selecionar os objetivos estratégicos prioritários em âmbito local trabalhados em 2021. Os objetivos estratégicos. em âmbito nacional, foram alterados para : </t>
    </r>
    <r>
      <rPr>
        <sz val="12"/>
        <color rgb="FFFF0000"/>
        <rFont val="Calibri"/>
        <family val="2"/>
        <scheme val="minor"/>
      </rPr>
      <t xml:space="preserve">Fiscalização,  AU como Política de Estado e Acesso da Sociedade à AU, </t>
    </r>
    <r>
      <rPr>
        <b/>
        <sz val="12"/>
        <color theme="1"/>
        <rFont val="Calibri"/>
        <family val="2"/>
        <scheme val="minor"/>
      </rPr>
      <t>devem ser obrigatoriamente trabalhados.</t>
    </r>
  </si>
  <si>
    <r>
      <t xml:space="preserve">Justificativa: </t>
    </r>
    <r>
      <rPr>
        <b/>
        <sz val="11"/>
        <color rgb="FFFF0000"/>
        <rFont val="Calibri"/>
        <family val="2"/>
        <scheme val="minor"/>
      </rPr>
      <t>( Caso haja alterações nos objetivos locais referente a Programação 2021, incluir uma breve justificativa)</t>
    </r>
  </si>
  <si>
    <t xml:space="preserve">Mensal </t>
  </si>
  <si>
    <t xml:space="preserve">número de reclamações recebidas pela Ouvidoria  no trimestre                                                                                                               </t>
  </si>
  <si>
    <t xml:space="preserve">número total de atendimentos pela Ouvidoria no trimestre                                   </t>
  </si>
  <si>
    <t xml:space="preserve">Anual
</t>
  </si>
  <si>
    <t>número de ações com participação do CAU/UF</t>
  </si>
  <si>
    <t>quantidade de acessos qualificados (visitantes únicos) a página do CAU/UF</t>
  </si>
  <si>
    <t>número de inserções na mídia em geral onde o CAU/UF foi citado</t>
  </si>
  <si>
    <t>número de inserções positivas do CAU/UF na mídia</t>
  </si>
  <si>
    <t>Número de  visualizações das publicações do CAU/UF das redes sociais</t>
  </si>
  <si>
    <t>quantidade de visualizações das publicações do CAU/UF das redes sociais</t>
  </si>
  <si>
    <t>número de escolas da UF com a disciplina de ética profissional na grade curricular</t>
  </si>
  <si>
    <t>número total de escolas da UF</t>
  </si>
  <si>
    <t>número total de processos éticos abertos</t>
  </si>
  <si>
    <t>tempo médio de conclusão de processos éticos</t>
  </si>
  <si>
    <t>tempo máximo para conclusão de processo</t>
  </si>
  <si>
    <t xml:space="preserve">Semestral 
</t>
  </si>
  <si>
    <t xml:space="preserve">Semestral </t>
  </si>
  <si>
    <t>Número de ações executadas</t>
  </si>
  <si>
    <t xml:space="preserve">quantidade de ações executadas voltadas à cultura organizacional e estratégia                                                                                                                  </t>
  </si>
  <si>
    <t>Índice de cumprimento das metas do Plano de Ação (%)</t>
  </si>
  <si>
    <t>Meta
Reprogramação
2021</t>
  </si>
  <si>
    <t>Meta
Programação
2021</t>
  </si>
  <si>
    <t>Programação 2021 
(A)</t>
  </si>
  <si>
    <t>Reprogramação 2021</t>
  </si>
  <si>
    <t>Execução Jan/Maio
 (B)</t>
  </si>
  <si>
    <t>Projetado Jun/Dez
 (C )</t>
  </si>
  <si>
    <t>Reprogramação 2021
 (D)</t>
  </si>
  <si>
    <t>Orientação: As células sinalizadas, em cinza, são fórmulas e não devem ser modificadas. Verificar os comentários colocando o cursor na célula correspondente, no cabeçalho. Caso seja necessário aumentar o número de linhas, favor verificar a continuidade das fórmulas. O enquadramento aos Objetivos de Desenvolvimento Sustentável (ODS) é facultativo.</t>
  </si>
  <si>
    <t xml:space="preserve">Variação (2021/2021) </t>
  </si>
  <si>
    <t>Programação 2021
 (A)</t>
  </si>
  <si>
    <t>Proposta Reprogramação 2021 (D=B+C)</t>
  </si>
  <si>
    <t>Orientação:  Na proposta da Reprogramação 2021, para as receitas  de Arrecadação - anuidades de PF e PJ  (do exercício 2021 e dos exercícios anteriores), RRT, taxas e multas, devem ser considerados os valores constantes das Diretrizes da Reprogramação 2021. As receitas de exercícios anteriores devem ser projetadas no mínimo de 10% do valor total a ser arrecadado por cada CAU/UF.  As células sinalizadas, em cinza, são fórmulas e não devem ser modificadas. Verificar os comentários colocando o cursor na célula correspondente, no cabeçalho.</t>
  </si>
  <si>
    <t>Projetado
Jun/Dez  (C)</t>
  </si>
  <si>
    <t>1.1.1.1.1 Anuidade do Exercício 2021</t>
  </si>
  <si>
    <t>1.1.1.2.1 Anuidade do Exercício 2021</t>
  </si>
  <si>
    <t>II. APLICAÇÕES</t>
  </si>
  <si>
    <t>RESUMO DA REPROGRAMAÇÃO  ORDINÁRIA 2021 - POR CATEGORIA ECONÔMICA</t>
  </si>
  <si>
    <t>Programação 
2021 
(A)</t>
  </si>
  <si>
    <t>Reprogramação 
2021
(B)</t>
  </si>
  <si>
    <t>Programação 
2021
(D)</t>
  </si>
  <si>
    <t>Reprogramação 
2021
(E)</t>
  </si>
  <si>
    <t>COMENTÁRIOS/JUSTIFICATIVAS:</t>
  </si>
  <si>
    <t xml:space="preserve">Superávit Financeiro </t>
  </si>
  <si>
    <t>I - Superávit financeiro Acumulado  em 2020</t>
  </si>
  <si>
    <t>Atenção: É vedada a utilização dos recursos do superávit financeiro para remuneração de pessoal efetivo e de ocupantes de empregos de livre provimento e demissão, bem como os encargos sociais inerentes.</t>
  </si>
  <si>
    <t>III a- Percentual de utilização para PE</t>
  </si>
  <si>
    <t>Deliberação que aprova PE</t>
  </si>
  <si>
    <t>Programação
 2021</t>
  </si>
  <si>
    <t>Reprogramação
 2021</t>
  </si>
  <si>
    <t xml:space="preserve">1. Receita de Arrecadação Total </t>
  </si>
  <si>
    <t>COMENTÁRIOS/JUSTIFICATIVAS, quando da flexibilização da aplicação de recursos mínimos e máximos dos limites estratégicos  do Plano de Ação e Orçamento de 2021</t>
  </si>
  <si>
    <t>OBS 1:  Vedada a inobservância de aplicação do percentual mínimo de 15% (quinze por cento) da Receita de Arrecadação Líquida (RAL) nas atividades de Fiscalização e do percentual máximo de 55% da Receita Corrente com as Despesas com Pessoal.</t>
  </si>
  <si>
    <t>OBS 2: Os órgãos deliberativos dos CAU/UF poderão, mediante as justificativas próprias, flexibilizar a aplicação de recursos mínimos e máximos na Reprogramação do Plano de Ação e Orçamento de 2021."</t>
  </si>
  <si>
    <r>
      <t xml:space="preserve">Fiscalização
</t>
    </r>
    <r>
      <rPr>
        <b/>
        <sz val="14"/>
        <color rgb="FF008080"/>
        <rFont val="Calibri"/>
        <family val="2"/>
      </rPr>
      <t xml:space="preserve">(mínimo de 15 % do total da RAL) </t>
    </r>
    <r>
      <rPr>
        <b/>
        <sz val="14"/>
        <color rgb="FF009999"/>
        <rFont val="Calibri"/>
        <family val="2"/>
      </rPr>
      <t xml:space="preserve">   </t>
    </r>
    <r>
      <rPr>
        <b/>
        <sz val="14"/>
        <color indexed="8"/>
        <rFont val="Calibri"/>
        <family val="2"/>
      </rPr>
      <t xml:space="preserve">                                                                     </t>
    </r>
  </si>
  <si>
    <r>
      <t xml:space="preserve">Atendimento
</t>
    </r>
    <r>
      <rPr>
        <b/>
        <sz val="14"/>
        <color rgb="FF008080"/>
        <rFont val="Calibri"/>
        <family val="2"/>
      </rPr>
      <t>(mínimo de 10 % do total da RAL)</t>
    </r>
  </si>
  <si>
    <r>
      <t xml:space="preserve">Comunicação
</t>
    </r>
    <r>
      <rPr>
        <b/>
        <sz val="14"/>
        <color rgb="FF008080"/>
        <rFont val="Calibri"/>
        <family val="2"/>
      </rPr>
      <t>(mínimo de 3% do total da RAL)</t>
    </r>
    <r>
      <rPr>
        <b/>
        <sz val="14"/>
        <color indexed="21"/>
        <rFont val="Calibri"/>
        <family val="2"/>
      </rPr>
      <t xml:space="preserve">             </t>
    </r>
    <r>
      <rPr>
        <b/>
        <sz val="14"/>
        <color indexed="57"/>
        <rFont val="Calibri"/>
        <family val="2"/>
      </rPr>
      <t xml:space="preserve">                                                                                </t>
    </r>
  </si>
  <si>
    <r>
      <t xml:space="preserve">Patrocínio
</t>
    </r>
    <r>
      <rPr>
        <b/>
        <sz val="14"/>
        <color rgb="FF008080"/>
        <rFont val="Calibri"/>
        <family val="2"/>
      </rPr>
      <t xml:space="preserve">(máximo de 5% do total da RAL) </t>
    </r>
    <r>
      <rPr>
        <b/>
        <sz val="14"/>
        <color indexed="21"/>
        <rFont val="Calibri"/>
        <family val="2"/>
      </rPr>
      <t xml:space="preserve">  </t>
    </r>
    <r>
      <rPr>
        <b/>
        <sz val="14"/>
        <color indexed="10"/>
        <rFont val="Calibri"/>
        <family val="2"/>
      </rPr>
      <t xml:space="preserve">      </t>
    </r>
    <r>
      <rPr>
        <b/>
        <sz val="14"/>
        <color indexed="8"/>
        <rFont val="Calibri"/>
        <family val="2"/>
      </rPr>
      <t xml:space="preserve">                                                                            </t>
    </r>
  </si>
  <si>
    <r>
      <t xml:space="preserve">Objetivos Estratégicos Locais             </t>
    </r>
    <r>
      <rPr>
        <b/>
        <sz val="14"/>
        <color indexed="21"/>
        <rFont val="Calibri"/>
        <family val="2"/>
      </rPr>
      <t xml:space="preserve"> </t>
    </r>
    <r>
      <rPr>
        <b/>
        <sz val="14"/>
        <color rgb="FFFF0000"/>
        <rFont val="Calibri"/>
        <family val="2"/>
      </rPr>
      <t xml:space="preserve"> </t>
    </r>
    <r>
      <rPr>
        <b/>
        <sz val="14"/>
        <color rgb="FF008080"/>
        <rFont val="Calibri"/>
        <family val="2"/>
      </rPr>
      <t xml:space="preserve">(mínimo de 6 % do total da RAL)      </t>
    </r>
    <r>
      <rPr>
        <b/>
        <sz val="14"/>
        <color indexed="21"/>
        <rFont val="Calibri"/>
        <family val="2"/>
      </rPr>
      <t xml:space="preserve">                   </t>
    </r>
  </si>
  <si>
    <r>
      <t xml:space="preserve">Assistência Técnica                            </t>
    </r>
    <r>
      <rPr>
        <b/>
        <sz val="14"/>
        <color rgb="FF008080"/>
        <rFont val="Calibri"/>
        <family val="2"/>
        <scheme val="minor"/>
      </rPr>
      <t xml:space="preserve">(mínimo de 2% do total da RAL)  </t>
    </r>
    <r>
      <rPr>
        <b/>
        <sz val="14"/>
        <color theme="1"/>
        <rFont val="Calibri"/>
        <family val="2"/>
        <scheme val="minor"/>
      </rPr>
      <t xml:space="preserve">  </t>
    </r>
  </si>
  <si>
    <r>
      <t xml:space="preserve">Reserva de Contingência                          </t>
    </r>
    <r>
      <rPr>
        <b/>
        <sz val="14"/>
        <color rgb="FF008080"/>
        <rFont val="Calibri"/>
        <family val="2"/>
      </rPr>
      <t xml:space="preserve">(até 2 % do total da RAL)  </t>
    </r>
    <r>
      <rPr>
        <b/>
        <sz val="14"/>
        <color indexed="21"/>
        <rFont val="Calibri"/>
        <family val="2"/>
      </rPr>
      <t xml:space="preserve">            </t>
    </r>
  </si>
  <si>
    <r>
      <t xml:space="preserve"> Despesas com Pessoal 
</t>
    </r>
    <r>
      <rPr>
        <b/>
        <sz val="14"/>
        <color rgb="FF008080"/>
        <rFont val="Calibri"/>
        <family val="2"/>
        <scheme val="minor"/>
      </rPr>
      <t>(máximo de 55% sobre as Receitas Correntes)</t>
    </r>
  </si>
  <si>
    <r>
      <t xml:space="preserve">Capacitação
</t>
    </r>
    <r>
      <rPr>
        <b/>
        <sz val="14"/>
        <color rgb="FF008080"/>
        <rFont val="Calibri"/>
        <family val="2"/>
        <scheme val="minor"/>
      </rPr>
      <t>(mínimo de 2% e máximo de 4% da Folha de Pagamento)</t>
    </r>
    <r>
      <rPr>
        <b/>
        <sz val="14"/>
        <color rgb="FF008080"/>
        <rFont val="Calibri"/>
        <family val="2"/>
      </rPr>
      <t xml:space="preserve">     </t>
    </r>
    <r>
      <rPr>
        <b/>
        <sz val="14"/>
        <color indexed="57"/>
        <rFont val="Calibri"/>
        <family val="2"/>
      </rPr>
      <t xml:space="preserve">         </t>
    </r>
  </si>
  <si>
    <t>Orientação:  As células sinalizadas, em cinza, são fórmulas e não devem ser modificadas.</t>
  </si>
  <si>
    <t xml:space="preserve">Reserva de 
Contingência </t>
  </si>
  <si>
    <r>
      <t>Os itens de custo devem ser:
•</t>
    </r>
    <r>
      <rPr>
        <b/>
        <sz val="20"/>
        <color theme="1"/>
        <rFont val="Arial"/>
        <family val="2"/>
      </rPr>
      <t xml:space="preserve"> Pessoal (Salários, Encargos e Benefícios) </t>
    </r>
    <r>
      <rPr>
        <sz val="20"/>
        <color theme="1"/>
        <rFont val="Arial"/>
        <family val="2"/>
      </rPr>
      <t xml:space="preserve">
a) Pessoal e Encargos:  compreende salários; gratificações; 13º salário; férias; 1/3 férias, abono e horas extras; INSS; FGTS e PIS; vale transporte, auxílio alimentação, plano de saúde e outros benefícios.
b) Diárias – compreende diárias de funcionários com vínculo empregatício com o Conselho.
</t>
    </r>
    <r>
      <rPr>
        <b/>
        <sz val="20"/>
        <color theme="1"/>
        <rFont val="Arial"/>
        <family val="2"/>
      </rPr>
      <t>• Material de Consumo</t>
    </r>
    <r>
      <rPr>
        <sz val="20"/>
        <color theme="1"/>
        <rFont val="Arial"/>
        <family val="2"/>
      </rPr>
      <t xml:space="preserve"> – compreende material de expediente; informática; e outros materiais de consumo que não sejam classificados como material permanente. 
</t>
    </r>
    <r>
      <rPr>
        <b/>
        <sz val="20"/>
        <color theme="1"/>
        <rFont val="Arial"/>
        <family val="2"/>
      </rPr>
      <t xml:space="preserve">• Serviços de Terceiros: </t>
    </r>
    <r>
      <rPr>
        <sz val="20"/>
        <color theme="1"/>
        <rFont val="Arial"/>
        <family val="2"/>
      </rPr>
      <t xml:space="preserve">
a) Diárias – compreende diárias do presidente, de conselheiros e de convidados.
b) Passagens – compreende passagens de funcionários, presidente, conselheiros, e convidados.
c) Serviços Prestados (PF e PJ) – compreende todo serviço prestado por pessoa jurídica como: consultorias; serviços de comunicação e divulgação; manutenção de sistemas informatizados; locação de bens móveis e imóveis, condomínios, reparos e conservação de bens móveis e imóveis; serviços de água e energia elétrica; correios; telecomunicações e outras despesas correntes não classificáveis nos itens anteriores e  remunerações de serviços prestados por pessoa física; remuneração de estagiários, e remuneração de menores aprendizes.
</t>
    </r>
    <r>
      <rPr>
        <b/>
        <sz val="20"/>
        <color theme="1"/>
        <rFont val="Arial"/>
        <family val="2"/>
      </rPr>
      <t>. Transferências Correntes</t>
    </r>
    <r>
      <rPr>
        <sz val="20"/>
        <color theme="1"/>
        <rFont val="Arial"/>
        <family val="2"/>
      </rPr>
      <t xml:space="preserve">: compreende os repasses ao Fundo de Apoio; os repasses ao Centro de Serviço Compartilhado - CSC; convênios, acordos, ajuda as entidades e patrocínios.
</t>
    </r>
    <r>
      <rPr>
        <b/>
        <sz val="20"/>
        <color theme="1"/>
        <rFont val="Arial"/>
        <family val="2"/>
      </rPr>
      <t xml:space="preserve">. Reserva de Contingência: </t>
    </r>
    <r>
      <rPr>
        <sz val="20"/>
        <color theme="1"/>
        <rFont val="Arial"/>
        <family val="2"/>
      </rPr>
      <t xml:space="preserve">compreende as despesas não previstas no plano de ação.
</t>
    </r>
    <r>
      <rPr>
        <b/>
        <sz val="20"/>
        <color theme="1"/>
        <rFont val="Arial"/>
        <family val="2"/>
      </rPr>
      <t>. Encargos Diversos –</t>
    </r>
    <r>
      <rPr>
        <sz val="20"/>
        <color theme="1"/>
        <rFont val="Arial"/>
        <family val="2"/>
      </rPr>
      <t xml:space="preserve"> compreende as taxas bancárias; impostos e taxas diversas; despesas judiciais; e outros encargos.
</t>
    </r>
    <r>
      <rPr>
        <b/>
        <sz val="20"/>
        <color theme="1"/>
        <rFont val="Arial"/>
        <family val="2"/>
      </rPr>
      <t xml:space="preserve">. Imobilizado </t>
    </r>
    <r>
      <rPr>
        <sz val="20"/>
        <color theme="1"/>
        <rFont val="Arial"/>
        <family val="2"/>
      </rPr>
      <t xml:space="preserve">– compreende os investimentos como: aquisição de equipamentos e materiais permanentes; aquisição de imóveis; e outros investimentos.
</t>
    </r>
  </si>
  <si>
    <t>Anexo 3- Aplicações por Projeto/Atividade - por Elemento de Despesa (Consolidado) - Reprogramação 2021</t>
  </si>
  <si>
    <t xml:space="preserve">As informações devem ser transcritas para Quadro Geral. As células sinalizadas, em cinza, são fórmulas e não devem ser modificadas.
OBS: As ações estratégias são específicas de cada objetivo estratégico. A opção "Não se aplica" deve ser utilizada quando a ação  descrita não faz parte do rol das "Ações Estratégicas Prioritárias". </t>
  </si>
  <si>
    <t>Ação</t>
  </si>
  <si>
    <t>Custo da Ação</t>
  </si>
  <si>
    <r>
      <t xml:space="preserve">OBS: As ações estratégias são específicas de cada objetivo estratégico. A opção </t>
    </r>
    <r>
      <rPr>
        <b/>
        <sz val="22"/>
        <color theme="1"/>
        <rFont val="Calibri"/>
        <family val="2"/>
        <scheme val="minor"/>
      </rPr>
      <t>"Não se aplica</t>
    </r>
    <r>
      <rPr>
        <sz val="22"/>
        <color theme="1"/>
        <rFont val="Calibri"/>
        <family val="2"/>
        <scheme val="minor"/>
      </rPr>
      <t>" deve ser utilizada quando a ação  descrita não faz parte do rol das "</t>
    </r>
    <r>
      <rPr>
        <b/>
        <sz val="22"/>
        <color theme="1"/>
        <rFont val="Calibri"/>
        <family val="2"/>
        <scheme val="minor"/>
      </rPr>
      <t>Ações Estratégicas Prioritárias</t>
    </r>
    <r>
      <rPr>
        <sz val="22"/>
        <color theme="1"/>
        <rFont val="Calibri"/>
        <family val="2"/>
        <scheme val="minor"/>
      </rPr>
      <t xml:space="preserve">". </t>
    </r>
  </si>
  <si>
    <t>Autoatendimento</t>
  </si>
  <si>
    <t>Realização de ações direcionadoras e facilitadoras do autoatendimento (tutoriais, manuais)</t>
  </si>
  <si>
    <t>Ações de comunicação realizadas a partir de inserções em mídias impressas (anúncios, editoriais, etc.) e redes sociais (facebook, Instagram, etc.)., tratando de temas relevantes para a realidade de cada UF.</t>
  </si>
  <si>
    <t>Aplicação de recursos para viabilizar a realização de Seminários, Mostras de Arquitetura, Cursos, Oficinas, etc., a serem firmados tanto com Entidades de Arquitetos quanto com Entidades Mistas.</t>
  </si>
  <si>
    <t xml:space="preserve">5) O valor do "Executado 2021": retirar do SISCONT. NET, no caminho "Centro de Custos&gt; Relatórios&gt; Demonstrativo de empenhos/pagamentos"; período de  01/01/2021 até 31/05/2021; na coluna "LIQUIDAÇÕES". </t>
  </si>
  <si>
    <t>7) Vedada a inobservância de aplicação do percentual mínimo de 15% (quinze por cento) da Receita de Arrecadação Líquida (RAL) nas atividades de Fiscalização e do percentual máximo de 55% da Receita Corrente com as Despesas com Pessoal. (Anexo 2)</t>
  </si>
  <si>
    <t>8) Os órgãos deliberativos dos CAU/UF poderão, mediante as justificativas próprias, flexibilizar a aplicação de recursos mínimos e máximos na Reprogramação do Plano de Ação e Orçamento de 2021. (Anexo 2)</t>
  </si>
  <si>
    <t>9) Preencher o anexo 4  apenas para os projetos/atividades novos e/ou que tiveram alterações/ajustes .</t>
  </si>
  <si>
    <t>Anexo 4 - Quadro Descritivo de Ações e Metas do Plano de Ação - Reprogramação 2021</t>
  </si>
  <si>
    <t>Programação 
2021
(A)</t>
  </si>
  <si>
    <t>Reprogramação ordinária 2021</t>
  </si>
  <si>
    <t>Variação%
(E=D/A)</t>
  </si>
  <si>
    <t>A custear com Recursos do Fundo de Apoio (R$) 
(F)</t>
  </si>
  <si>
    <t>% Utilização do 
Fundo de Apoio 
(G=F/D)</t>
  </si>
  <si>
    <t>6) O valor das "Receitas realizadas 2021": retirar do SISCONT. NET, no caminho:  "Contabilidade&gt; Relatórios-&gt;Consolidado&gt;comparativo da receita"; período de 01/01/2021 até 31/05/2021; na coluna "Arrec.Período"</t>
  </si>
  <si>
    <t>1) O valor da Programação 2021 deve ser igual ao valor APROVADO no Plano de Ação 2021 , ou seja, sem transposição. O CAU/PB e o CAU/PR deverão usar os dados da reprogramação extraordinária 2021.</t>
  </si>
  <si>
    <t>Obs.: Os Indicadores devem ser vinculados aos objetivos estratégicos priorizados no Mapa Estratégico do CAU/UF, ou seja, os indicadores dos objetivos estratégicos escolhidos no Mapa Estratégico devem ser mensurados. (ALERTA: Os indicadores foram validados no Seminário de Planejamento realizado em Fev/2020).</t>
  </si>
  <si>
    <t>P</t>
  </si>
  <si>
    <t>A</t>
  </si>
  <si>
    <t>PE</t>
  </si>
  <si>
    <t>AT</t>
  </si>
  <si>
    <t>N</t>
  </si>
  <si>
    <t>R</t>
  </si>
  <si>
    <t>E</t>
  </si>
  <si>
    <t>C</t>
  </si>
  <si>
    <t>X</t>
  </si>
  <si>
    <t>Projetos Específicos- DPOBR Nº 0097-08.A/2019 (Substituída pela Resolução  n. 200/2020)</t>
  </si>
  <si>
    <t>Projetos Específicos- DPOBR Nº 0084-03/2018 (Substituída pela Resolução  n. 200/2020)</t>
  </si>
  <si>
    <r>
      <t xml:space="preserve">Manutenção de </t>
    </r>
    <r>
      <rPr>
        <b/>
        <sz val="20"/>
        <rFont val="Calibri"/>
        <family val="2"/>
        <scheme val="minor"/>
      </rPr>
      <t>100% das despesas mensais</t>
    </r>
    <r>
      <rPr>
        <sz val="20"/>
        <rFont val="Calibri"/>
        <family val="2"/>
        <scheme val="minor"/>
      </rPr>
      <t xml:space="preserve"> </t>
    </r>
    <r>
      <rPr>
        <b/>
        <sz val="20"/>
        <rFont val="Calibri"/>
        <family val="2"/>
        <scheme val="minor"/>
      </rPr>
      <t>com o pagamento de colaboradores e benefícios</t>
    </r>
    <r>
      <rPr>
        <sz val="20"/>
        <rFont val="Calibri"/>
        <family val="2"/>
        <scheme val="minor"/>
      </rPr>
      <t xml:space="preserve"> para o cumprimento das atribuições da assessoria de comunicação e da assessoria de eventos, tais como: Acompanhamento da produção, desenvolvimento e distribuição de cartilhas e divulgação de campanhas; Demandas administrativas relativas a assessoria.</t>
    </r>
  </si>
  <si>
    <r>
      <t xml:space="preserve">Manutenção de </t>
    </r>
    <r>
      <rPr>
        <b/>
        <sz val="20"/>
        <rFont val="Calibri"/>
        <family val="2"/>
        <scheme val="minor"/>
      </rPr>
      <t>100% das despesas mensais com o pagamento de diárias</t>
    </r>
    <r>
      <rPr>
        <sz val="20"/>
        <rFont val="Calibri"/>
        <family val="2"/>
        <scheme val="minor"/>
      </rPr>
      <t xml:space="preserve"> </t>
    </r>
    <r>
      <rPr>
        <b/>
        <sz val="20"/>
        <rFont val="Calibri"/>
        <family val="2"/>
        <scheme val="minor"/>
      </rPr>
      <t xml:space="preserve">de colaboradores </t>
    </r>
    <r>
      <rPr>
        <sz val="20"/>
        <rFont val="Calibri"/>
        <family val="2"/>
        <scheme val="minor"/>
      </rPr>
      <t>para o cumprimento das atribuições da Assessoria de Comunicação, tais como: Acompanhamento da produção, desenvolvimento e distribuição de cartilhas e divulgação de campanhas; Demandas administrativas relativas a assessoria.</t>
    </r>
  </si>
  <si>
    <r>
      <t xml:space="preserve">Manutenção de </t>
    </r>
    <r>
      <rPr>
        <b/>
        <sz val="20"/>
        <rFont val="Calibri"/>
        <family val="2"/>
        <scheme val="minor"/>
      </rPr>
      <t>100% das despesas mensais</t>
    </r>
    <r>
      <rPr>
        <sz val="20"/>
        <rFont val="Calibri"/>
        <family val="2"/>
        <scheme val="minor"/>
      </rPr>
      <t xml:space="preserve"> </t>
    </r>
    <r>
      <rPr>
        <b/>
        <sz val="20"/>
        <rFont val="Calibri"/>
        <family val="2"/>
        <scheme val="minor"/>
      </rPr>
      <t>com o pagamento de passagens aéreas, despesas com transporte urbanos (Táxi)</t>
    </r>
    <r>
      <rPr>
        <sz val="20"/>
        <rFont val="Calibri"/>
        <family val="2"/>
        <scheme val="minor"/>
      </rPr>
      <t>, remuneração de estagiários para o cumprimento das atribuições da gerência, dentre as quais: monitoramento e realização do Plano de Ação; integração das atividades realizadas pelas unidades administrativas do CAU/MG.</t>
    </r>
  </si>
  <si>
    <r>
      <t xml:space="preserve">Elaborar </t>
    </r>
    <r>
      <rPr>
        <b/>
        <sz val="20"/>
        <rFont val="Calibri"/>
        <family val="2"/>
        <scheme val="minor"/>
      </rPr>
      <t>um termo de referência</t>
    </r>
    <r>
      <rPr>
        <sz val="20"/>
        <rFont val="Calibri"/>
        <family val="2"/>
        <scheme val="minor"/>
      </rPr>
      <t xml:space="preserve"> </t>
    </r>
    <r>
      <rPr>
        <b/>
        <sz val="20"/>
        <rFont val="Calibri"/>
        <family val="2"/>
        <scheme val="minor"/>
      </rPr>
      <t>para a contratação de prestação de serviços</t>
    </r>
    <r>
      <rPr>
        <sz val="20"/>
        <rFont val="Calibri"/>
        <family val="2"/>
        <scheme val="minor"/>
      </rPr>
      <t xml:space="preserve"> de publicidade e propaganda.</t>
    </r>
  </si>
  <si>
    <r>
      <t xml:space="preserve">Fiscalizar a execução de </t>
    </r>
    <r>
      <rPr>
        <b/>
        <sz val="20"/>
        <rFont val="Calibri"/>
        <family val="2"/>
        <scheme val="minor"/>
      </rPr>
      <t>um contrato de prestação de serviços</t>
    </r>
    <r>
      <rPr>
        <sz val="20"/>
        <rFont val="Calibri"/>
        <family val="2"/>
        <scheme val="minor"/>
      </rPr>
      <t xml:space="preserve"> de comunicação integrada.</t>
    </r>
  </si>
  <si>
    <r>
      <t xml:space="preserve">Desenvolver dentro da sua competência </t>
    </r>
    <r>
      <rPr>
        <b/>
        <sz val="20"/>
        <rFont val="Calibri"/>
        <family val="2"/>
        <scheme val="minor"/>
      </rPr>
      <t>um aplicativo</t>
    </r>
    <r>
      <rPr>
        <sz val="20"/>
        <rFont val="Calibri"/>
        <family val="2"/>
        <scheme val="minor"/>
      </rPr>
      <t xml:space="preserve"> Arquiteto protagonista</t>
    </r>
  </si>
  <si>
    <r>
      <rPr>
        <b/>
        <sz val="20"/>
        <color theme="1"/>
        <rFont val="Calibri"/>
        <family val="2"/>
      </rPr>
      <t>Desenvolver Campanha - Apresentar o CAU/MG</t>
    </r>
    <r>
      <rPr>
        <sz val="20"/>
        <color theme="1"/>
        <rFont val="Calibri"/>
        <family val="2"/>
      </rPr>
      <t>: Sociedade e canais de comunicação devem saber sobre o Conselho, o que é, em que atua, quais suas contribuições para a sociedade, de modo a tornar o órgão uma fonte de segurança e consulta no que diz respeito à construção das cidades e da moradia digna para todos. Relacionamento com grupos locais e imprensa pelo Estado de Minas Gerais.</t>
    </r>
  </si>
  <si>
    <t>Manter e Desenvolver as Atividades da Comissão Especial de Assistência Técnica para Habitação de Interesse Social</t>
  </si>
  <si>
    <t xml:space="preserve">Realizar o calendário de nove Reuniões Ordinárias (Comissões, Conselho Diretor, CEAU e Plenária) para o cumprimento de suas competências regimentais e o desenvolvimento de ações previstas no seu Plano de Trabalho e no Plano de Ação do CAU/MG, prevendo datas para tratativas conjuntas com as demais Comissões Especiais. </t>
  </si>
  <si>
    <t xml:space="preserve">Realizar o calendário de quatro Reuniões Extraordinárias para a apreciação de demandas extraordinárias e planejamento de novas atividades. </t>
  </si>
  <si>
    <r>
      <t>Constituir um grupo-piloto com prefeituras da dita Zona da Mata Norte que se comprometam a implantar a Athis nos seus municípios como política pública, preferencialmente, como parte de planos locais de habitação (PLH) de modo que se amplie a difusão de metodologias e práticas em Athis e referencie a replicação desta abordagem em rede para outros municípios. Esta ação inclui a realização de um</t>
    </r>
    <r>
      <rPr>
        <b/>
        <sz val="20"/>
        <color theme="1"/>
        <rFont val="Calibri"/>
        <family val="2"/>
        <scheme val="minor"/>
      </rPr>
      <t xml:space="preserve"> evento</t>
    </r>
    <r>
      <rPr>
        <sz val="20"/>
        <color theme="1"/>
        <rFont val="Calibri"/>
        <family val="2"/>
        <scheme val="minor"/>
      </rPr>
      <t xml:space="preserve"> denominado </t>
    </r>
    <r>
      <rPr>
        <b/>
        <i/>
        <sz val="20"/>
        <color theme="1"/>
        <rFont val="Calibri"/>
        <family val="2"/>
        <scheme val="minor"/>
      </rPr>
      <t>“Limites e oportunidades para a função social da Arquitetura e Urbanismo no Estado de Minas Gerais: um olhar sobre a Zona da Mata Norte”.</t>
    </r>
    <r>
      <rPr>
        <b/>
        <sz val="20"/>
        <color theme="1"/>
        <rFont val="Calibri"/>
        <family val="2"/>
        <scheme val="minor"/>
      </rPr>
      <t xml:space="preserve">
</t>
    </r>
  </si>
  <si>
    <r>
      <t xml:space="preserve">Elaborar </t>
    </r>
    <r>
      <rPr>
        <b/>
        <sz val="20"/>
        <color theme="1"/>
        <rFont val="Calibri"/>
        <family val="2"/>
        <scheme val="minor"/>
      </rPr>
      <t>uma Minuta de Projeto Básico de Lei Municipal de Athis</t>
    </r>
    <r>
      <rPr>
        <sz val="20"/>
        <color theme="1"/>
        <rFont val="Calibri"/>
        <family val="2"/>
        <scheme val="minor"/>
      </rPr>
      <t xml:space="preserve"> para municípios comprometidos em implantar política pública de Athis.</t>
    </r>
  </si>
  <si>
    <r>
      <t xml:space="preserve">Evento: II Seminário Athis: Experiências dos Editais de Patrocínio. Realizar </t>
    </r>
    <r>
      <rPr>
        <b/>
        <sz val="20"/>
        <color theme="1"/>
        <rFont val="Calibri"/>
        <family val="2"/>
        <scheme val="minor"/>
      </rPr>
      <t xml:space="preserve">um evento </t>
    </r>
    <r>
      <rPr>
        <sz val="20"/>
        <color theme="1"/>
        <rFont val="Calibri"/>
        <family val="2"/>
        <scheme val="minor"/>
      </rPr>
      <t>para apresentação e divulgação dos projetos patrocinados pelo CAU/MG, no âmbito dos Editais, debater dispositivos dos Editais de Patrocínio lançados na modalidade Athis e integrar o forum de debates, troca de experiências e saberes técnicos e legais sobre Athis, articulação de rede de atores estaduais comprometidos com o direito à Athis.</t>
    </r>
  </si>
  <si>
    <r>
      <t xml:space="preserve">Propor revisões e aprimoramentos à Comissão de Organização e Administração (COA-CAU/MG) para </t>
    </r>
    <r>
      <rPr>
        <b/>
        <sz val="20"/>
        <rFont val="Calibri"/>
        <family val="2"/>
        <scheme val="minor"/>
      </rPr>
      <t>edital de patrocínio.</t>
    </r>
  </si>
  <si>
    <r>
      <t>Evento: 1° Seminário Conjunto das Comissões Especiais (CPUA, CATHIS E CPC). Realizar</t>
    </r>
    <r>
      <rPr>
        <b/>
        <sz val="20"/>
        <color theme="1"/>
        <rFont val="Calibri"/>
        <family val="2"/>
        <scheme val="minor"/>
      </rPr>
      <t xml:space="preserve"> um evento</t>
    </r>
    <r>
      <rPr>
        <sz val="20"/>
        <color theme="1"/>
        <rFont val="Calibri"/>
        <family val="2"/>
        <scheme val="minor"/>
      </rPr>
      <t xml:space="preserve"> a fim de promover o CAU/MG como referência estadual na defesa e fomento das boas práticas do planejamento e desenvolvimento urbano e ambiental, habitação de interesse social e patrimônio cultural integrados, além de ampliar visibilidade e repercussão dos serviços pretados e sua rede de relacionamento.</t>
    </r>
  </si>
  <si>
    <t>Elencar projetos de lei estaduais para a atuação do CAU/MG</t>
  </si>
  <si>
    <t>Propor diretrizes para o Edital de Patrocínio na modalidade Assistência Técnica para Habitação de Interesse Social (Athis), e enviar para a aprovação do Conselho Diretor do CAU/MG</t>
  </si>
  <si>
    <t>Avaliar e revisar a meta e critérios de medição do indicador de desempenho “Participação do CAU na elaboração ou regulamentação da Lei da Assistência Técnica Gratuita (Lei nº 11.888/08) (%)”</t>
  </si>
  <si>
    <t>Avaliar e revisar a meta e critérios de medição do indicador de desempenho “"Índice de ações realizadas destinadas à Assistência Técnica (%)”</t>
  </si>
  <si>
    <t>Propor e realizar campanha, em rádio e televisão, de conteúdo relativo a suas competências regimentais</t>
  </si>
  <si>
    <t>Organizar articulação interinstitucional com a finalidade de implementação da Athis como política pública local, preferencialmente, parte de PLH – ação piloto nos 20 municípios da Zona da Mata Norte, observando possibilidades abertas com o TCT entre CAU/MG e Sedese/MG</t>
  </si>
  <si>
    <t>Organizar o “III Seminário Athis: experiência dos Editais do CAU/MG”</t>
  </si>
  <si>
    <t>Propor ação de campanha de divulgação da Athis no Congresso da AMM 2021</t>
  </si>
  <si>
    <t>Promover a articulação de ações em rede com a CPP-CAU/BR e Cathis dos outros CAU/UF relacionadas a política de Athis</t>
  </si>
  <si>
    <t>Propor outras finalidades, além dos Editais, para a alocação estratégica de recursos destinada à Athis.</t>
  </si>
  <si>
    <t>Propor convênios que busquem a elaboração de estudos municipais/regionais abrangendo todo o Estado de Minas Gerais, a fim de gerar e disponibilizar dados e informações atualizadas e qualificadas que orientem a boa e adequada tomada de decisão e ações estratégicas do CAU/MG em Athis</t>
  </si>
  <si>
    <t>Ação de aproximação junto às instâncias governamentais financiadoras e gestoras de recursos públicos destinados à HIS a fim de melhor orientar os gestores públicos municipais</t>
  </si>
  <si>
    <t>Propor ações conjuntas com as demais Comissões Especiais, tais como, o 2° Seminário Conjunto das Comissões Especiais</t>
  </si>
  <si>
    <t>Desenvolver novas ações: firmar convênio com o MPMG; criar plataforma de compartilhamento de informações sobre ATHIS; aproximar da iniciativa privada para fomentação da ATHIS por meio de isenção fiscal; relacionar ATHIS com o novo marco regulatório do saneamento; entre outras</t>
  </si>
  <si>
    <t>Proposta de frente parlamentar na ALMG</t>
  </si>
  <si>
    <t>Criação de Núcleo de práticas arquitetônicas em parceria com a SEDESE, IAB e IAB/MG</t>
  </si>
  <si>
    <t>Manter e Desenvolver as Atividades do Colegiado das Entidades Estaduais de Arquitetos e Urbanistas do CAU/MG</t>
  </si>
  <si>
    <t>Divulgar as ações das entidades nos canais de Comunicação do CAU/MG.</t>
  </si>
  <si>
    <r>
      <t>Realizar o calendário de</t>
    </r>
    <r>
      <rPr>
        <b/>
        <sz val="20"/>
        <color theme="1"/>
        <rFont val="Calibri"/>
        <family val="2"/>
        <scheme val="minor"/>
      </rPr>
      <t xml:space="preserve"> seis Reuniões Ordinárias</t>
    </r>
    <r>
      <rPr>
        <sz val="20"/>
        <color theme="1"/>
        <rFont val="Calibri"/>
        <family val="2"/>
        <scheme val="minor"/>
      </rPr>
      <t xml:space="preserve"> composta por três conselheiros, incluindo o Presidente, e três representantes de entidades membro do Colegiado para o cumprimento de suas competências regimentais e o desenvolvimento de ações previstas no seu Plano de Trabalho e no Plano de Ação do CAU/MG. </t>
    </r>
  </si>
  <si>
    <r>
      <t xml:space="preserve">Realizar o calendário de </t>
    </r>
    <r>
      <rPr>
        <b/>
        <sz val="20"/>
        <color theme="1"/>
        <rFont val="Calibri"/>
        <family val="2"/>
        <scheme val="minor"/>
      </rPr>
      <t>três Reuniões Extraordinárias</t>
    </r>
    <r>
      <rPr>
        <sz val="20"/>
        <color theme="1"/>
        <rFont val="Calibri"/>
        <family val="2"/>
        <scheme val="minor"/>
      </rPr>
      <t xml:space="preserve"> para a apreciação de demandas extraordinárias e planejamento de novas atividades. </t>
    </r>
  </si>
  <si>
    <r>
      <t xml:space="preserve">Elaborar </t>
    </r>
    <r>
      <rPr>
        <b/>
        <sz val="20"/>
        <color theme="1"/>
        <rFont val="Calibri"/>
        <family val="2"/>
        <scheme val="minor"/>
      </rPr>
      <t>uma proposta de campanha virtual</t>
    </r>
    <r>
      <rPr>
        <sz val="20"/>
        <color theme="1"/>
        <rFont val="Calibri"/>
        <family val="2"/>
        <scheme val="minor"/>
      </rPr>
      <t xml:space="preserve"> para a divulgação do Convênio com o Serviço Brasileiro de Apoio às Micro e Pequenas Empresas de Minas Gerais (SEBRAE-MG).</t>
    </r>
  </si>
  <si>
    <r>
      <t xml:space="preserve">Elaborar na rotina de reuniões do Colegiado,  </t>
    </r>
    <r>
      <rPr>
        <b/>
        <sz val="20"/>
        <color theme="1"/>
        <rFont val="Calibri"/>
        <family val="2"/>
        <scheme val="minor"/>
      </rPr>
      <t>uma proposta de cartilha</t>
    </r>
    <r>
      <rPr>
        <sz val="20"/>
        <color theme="1"/>
        <rFont val="Calibri"/>
        <family val="2"/>
        <scheme val="minor"/>
      </rPr>
      <t xml:space="preserve"> com foco em gestão de escritórios de arquitetura e urbanismo para a orientação de Arquitetos e Urbanistas empreendedores. </t>
    </r>
  </si>
  <si>
    <r>
      <t xml:space="preserve">Custear </t>
    </r>
    <r>
      <rPr>
        <b/>
        <sz val="20"/>
        <color theme="1"/>
        <rFont val="Calibri"/>
        <family val="2"/>
        <scheme val="minor"/>
      </rPr>
      <t>uma participação dos membros do Colegiado</t>
    </r>
    <r>
      <rPr>
        <sz val="20"/>
        <color theme="1"/>
        <rFont val="Calibri"/>
        <family val="2"/>
        <scheme val="minor"/>
      </rPr>
      <t xml:space="preserve"> em reuniões e eventos de interesse ou previstos pelo próprio Colegiado.</t>
    </r>
  </si>
  <si>
    <t>Evento Online "O Trabalho do Arquiteto e Urbanista e o papel das Entidades de Arquitetura e Urbanismo"</t>
  </si>
  <si>
    <t>Ação que facilite o acesso de Arquitetos e Urbanistas a  plataformas digitais, softwares e aplicativos.</t>
  </si>
  <si>
    <t>Campanha sobre os canais de atendimento do CAU/MG, como plataforma intuitiva, amigável e que aproxime o profissional.</t>
  </si>
  <si>
    <t xml:space="preserve">Evento Online com apoio dos CEAUs – CAU/Ufs: Resolução 64 </t>
  </si>
  <si>
    <t>Evento Online Arquitetura e a Cidade para Crianças</t>
  </si>
  <si>
    <t>Ciclo para capacitação de escritórios - Módulo I: Evento Online Como montar escritório de arquitetura</t>
  </si>
  <si>
    <t>Ciclo para capacitação de escritórios - Módulo II: Evento Online O fazer arquitetônico em tempos de Pandemia</t>
  </si>
  <si>
    <t>Ciclo para capacitação de escritórios - Módulo III: Evento Online Gerenciamento de Escritórios de Arquitetura e Urbanismo no Pós-Pandemia</t>
  </si>
  <si>
    <t>Ciclo para capacitação de escritórios - Módulo IV: Evento Online O valor do trabalho (Tabela de Honorários, reserva técnica, etc)</t>
  </si>
  <si>
    <t>Edital de Patrocínio para Entidades de Arquitetos e Urbanistas</t>
  </si>
  <si>
    <t>Elaborar e lançar um Edital de Chamada Pública de Patrocínio na modalidade Entidades Estaduais de Arquitetos e Urbanistas, a partir de diretrizes elaboradas pelo Ceau-CAU/MG.</t>
  </si>
  <si>
    <t>Manter e Desenvolver as Atividades da Comissão de Organização e Administração</t>
  </si>
  <si>
    <t xml:space="preserve">Realizar o calendário de 12 (doze) Reuniões Ordinárias (Comissões, Conselho Diretor e Plenária) para o cumprimento de suas competências regimentais e o desenvolvimento de ações previstas no seu Plano de Trabalho e no Plano de Ação do CAU/MG. </t>
  </si>
  <si>
    <t xml:space="preserve">Realizar o calendário de 10 (dez) Reuniões Extraordinárias para a apreciação de demandas extraordinárias e planejamento de novas atividades. </t>
  </si>
  <si>
    <r>
      <t xml:space="preserve">Custear </t>
    </r>
    <r>
      <rPr>
        <b/>
        <sz val="20"/>
        <rFont val="Calibri"/>
        <family val="2"/>
        <scheme val="minor"/>
      </rPr>
      <t xml:space="preserve">uma participação dos membros da Comissão </t>
    </r>
    <r>
      <rPr>
        <sz val="20"/>
        <rFont val="Calibri"/>
        <family val="2"/>
        <scheme val="minor"/>
      </rPr>
      <t>em reuniões e eventos de interesse ou previstos pela própria comissão.</t>
    </r>
  </si>
  <si>
    <t>Elaborar, revisar e aprimorar editais de patrocínio, após ouvir as comissões proponentes.</t>
  </si>
  <si>
    <t>Acompanhar e promover junto à Geplan ações que permitam a aproximação institucional necessária para criação de uma Frente Parlamentar Estadual pela Valorização da Arquitetura e Urbanismo em Minas Gerais.</t>
  </si>
  <si>
    <t>Formatar Edital de Patrocínio na modalidade Entidades Estaduais de Arquitetos e Urbanistas, a partir de diretrizes a definir pelo Ceau-CAU/MG</t>
  </si>
  <si>
    <t>Formatar Edital de Patrocínio na modalidade Assistência Técnica para Habitação de Interesse Social (Athis), a partir de diretrizes a definir pela Cathis</t>
  </si>
  <si>
    <t>Aprimorar o Edital para Chamada Pública para Credenciamento de benefícios</t>
  </si>
  <si>
    <t>Apreciar Plano de Cargos, Carreira e Remuneração (PCCR) (ref. Protocolo Siccau n. 1196131/2020)</t>
  </si>
  <si>
    <t>Formatar Edital de Patrocínio na modalidade Patrimônio Cultural, a partir de diretrizes a definir pela CPC</t>
  </si>
  <si>
    <t>Verificar regularidade regimental das entidades que compõem o Ceau-CAU/MG (ref. Protocolo Siccau n. 1033711/2020)</t>
  </si>
  <si>
    <t>Responder pedidos de esclarecimento sobre editais de patrocínio ou tomar outras providências cabíveis</t>
  </si>
  <si>
    <t>Elaborar um programa de integridade e transparência, e monitorar o cumprimento da LAI, considerando os princípios relacionados às temáticas de equidade e representaividade</t>
  </si>
  <si>
    <t xml:space="preserve">Propor conteúdo relativo aos resultados que as competências regimentais podem gerar para a sociedade, para uma campanha em formato de diálogo – podcast </t>
  </si>
  <si>
    <t>Construir um sistema de gestão da qualidade, através de consultorias especializadas</t>
  </si>
  <si>
    <t xml:space="preserve">Acompanhar a entrada em vigência de resolução do CAU/BR que regulamentará o acesso a informações produzidas no âmbito dos CAU/UF e CAU/BR, a fim de apurar seus efeitos, se houver, no CAU/MG quanto a irregularidades e responsabilidades relacionadas </t>
  </si>
  <si>
    <t>Acompanhar desdobramentos, se houver, da proposta de adoção da realização de reuniões extraordinárias por meio de videoconferência e certificação digital</t>
  </si>
  <si>
    <t>Responder demandas do CAU/BR, se houver, relativas a recomendações da CGU que compuseram parte da pauta do V Encontro Nacional COA e CPFi (2019)</t>
  </si>
  <si>
    <t xml:space="preserve">Criar Fóruns Regionais nas 10 (dez) regiões de planejamento (conforme adotado oficialmente pelo Governo de Minas), a fim de reunir projetos de lei, entidades associativas da sociedade civil, do poder público municipal,  com temas relacionados à Arquitetura e Urbanismo, e consequentemente conduzir propostas a um Seminário Legislativo a ser realizado em BH para construção da Frente Parlamentar junto à ALMG </t>
  </si>
  <si>
    <t>Propor uma revisão do Regimento Interno no que tange aos critérios para inclusão de entidades no CEAU</t>
  </si>
  <si>
    <t xml:space="preserve">Incentivar e acompanhar as representações institucionais realizadas pelos conselheiros e/ou outros representantes nomeados pela Presidência do CAU/MG </t>
  </si>
  <si>
    <t>Manter e Desenvolver as Atividades da Comissão de Ensino e Formação</t>
  </si>
  <si>
    <t xml:space="preserve">Realizar o calendário de 12 (doze) Reuniões Ordinárias (Comissões, Conselho Diretor, CEAU e Plenária) para o cumprimento de suas competências regimentais e o desenvolvimento de ações previstas no seu Plano de Trabalho e no Plano Estratégico do CAU/MG para o biênio 2019-2020. </t>
  </si>
  <si>
    <t xml:space="preserve">Realizar o calendário de seis Reuniões Extraordinárias para a apreciação de demandas extraordinárias e planejamento de novas atividades. </t>
  </si>
  <si>
    <r>
      <t xml:space="preserve">CAU Jovem: Premiação de Trabalho de Conclusão de Curso (TCC) - Realizar </t>
    </r>
    <r>
      <rPr>
        <b/>
        <sz val="20"/>
        <rFont val="Calibri"/>
        <family val="2"/>
        <scheme val="minor"/>
      </rPr>
      <t>um evento estadual</t>
    </r>
    <r>
      <rPr>
        <sz val="20"/>
        <rFont val="Calibri"/>
        <family val="2"/>
        <scheme val="minor"/>
      </rPr>
      <t xml:space="preserve"> para a valorização dos cursos de Arquitetura e Urbanismo no ensino e formação profissional</t>
    </r>
  </si>
  <si>
    <r>
      <t xml:space="preserve">CAU Jovem: elaborar e realizar </t>
    </r>
    <r>
      <rPr>
        <b/>
        <sz val="20"/>
        <rFont val="Calibri"/>
        <family val="2"/>
        <scheme val="minor"/>
      </rPr>
      <t>um calendário de exposição dos trabalhos premiados na Premiação de TCC</t>
    </r>
    <r>
      <rPr>
        <sz val="20"/>
        <rFont val="Calibri"/>
        <family val="2"/>
        <scheme val="minor"/>
      </rPr>
      <t xml:space="preserve"> para a divulgação em nível estadual da produção dos trabalhos de graduandos em AU.</t>
    </r>
  </si>
  <si>
    <r>
      <t xml:space="preserve">CAU Jovem: Cartilha para estudantes. elaborar na rotina de reuniões da Comissão, </t>
    </r>
    <r>
      <rPr>
        <b/>
        <sz val="20"/>
        <rFont val="Calibri"/>
        <family val="2"/>
        <scheme val="minor"/>
      </rPr>
      <t>uma cartilha orientativa</t>
    </r>
    <r>
      <rPr>
        <sz val="20"/>
        <rFont val="Calibri"/>
        <family val="2"/>
        <scheme val="minor"/>
      </rPr>
      <t xml:space="preserve"> para o ingresso de recém formados na vida profissional com ética e responsabilidade no exercício profissional. </t>
    </r>
  </si>
  <si>
    <t>Desenvolver com os alunos de arquitetura, uma conscientização das carreiras possíveis, e formas de atuação, criar campanhas para que as empresas possam ver onde o arquiteto pode atuar e fazer diferença.</t>
  </si>
  <si>
    <t>Criar concursos anualmente para arquitetos recém formados como forma de incentivar a entrada no mercado e ser reconhecido por ele. ( mínimo 5 anos de formado e temas livres)</t>
  </si>
  <si>
    <t>Promover curso gratuito para quem paga o CAU</t>
  </si>
  <si>
    <t>Parceria do CAU com empresas e entidades para fomentar estágios e primeiro emprego. A finalidade é estimular os profissionais e valorizar a Arquitetura e Urbanismo, além de mostrar para a sociedade o caráter essencial da profissão.</t>
  </si>
  <si>
    <t>Maior articulação do CAU com as Escolas e Cursos de Arquitetura e Urbanismo, também com seu corpo-docente e pesquisadores.</t>
  </si>
  <si>
    <t>Buscar a participação do CAU/MG nas colações de grau dos cursos de arquitetura e urbanismo do Estado, apresentando resumidamente o CAU/MG, dando boas-vindas a vida profissional e distribuindo materiais de orientação e brindes.</t>
  </si>
  <si>
    <t>Manter e Desenvolver as Atividades da Comissão de Ética e Disciplina</t>
  </si>
  <si>
    <t xml:space="preserve">Realizar o calendário de 12 (doze) Reuniões Ordinárias (Comissões, Conselho Diretor e Plenária) para o cumprimento de suas competências regimentais e o desenvolvimento de ações previstas no seu Plano de Trabalho e no Plano Estratégico do CAU/MG para o biênio 2019-2020. </t>
  </si>
  <si>
    <r>
      <t xml:space="preserve">Realizar o calendário de </t>
    </r>
    <r>
      <rPr>
        <b/>
        <sz val="20"/>
        <color theme="1"/>
        <rFont val="Calibri"/>
        <family val="2"/>
        <scheme val="minor"/>
      </rPr>
      <t>15 (quinze) Audiências de Instrução ou Conciliação</t>
    </r>
    <r>
      <rPr>
        <sz val="20"/>
        <color theme="1"/>
        <rFont val="Calibri"/>
        <family val="2"/>
        <scheme val="minor"/>
      </rPr>
      <t xml:space="preserve">. </t>
    </r>
  </si>
  <si>
    <r>
      <t xml:space="preserve">Evento: 	20º Seminário Regional da CED-CAU/BR. Realizar </t>
    </r>
    <r>
      <rPr>
        <b/>
        <sz val="20"/>
        <color theme="1"/>
        <rFont val="Calibri"/>
        <family val="2"/>
        <scheme val="minor"/>
      </rPr>
      <t xml:space="preserve">um evento </t>
    </r>
    <r>
      <rPr>
        <sz val="20"/>
        <color theme="1"/>
        <rFont val="Calibri"/>
        <family val="2"/>
        <scheme val="minor"/>
      </rPr>
      <t>para debater questões significativas para o exercício ético profissional junto à Comissão de Ética e Disciplina do CAU/BR (CED-CAU/BR).</t>
    </r>
  </si>
  <si>
    <r>
      <t xml:space="preserve">CAU Jovem: elaborar na rotina de reuniões da Comissão, </t>
    </r>
    <r>
      <rPr>
        <b/>
        <sz val="20"/>
        <color theme="1"/>
        <rFont val="Calibri"/>
        <family val="2"/>
        <scheme val="minor"/>
      </rPr>
      <t>uma</t>
    </r>
    <r>
      <rPr>
        <sz val="20"/>
        <color theme="1"/>
        <rFont val="Calibri"/>
        <family val="2"/>
        <scheme val="minor"/>
      </rPr>
      <t xml:space="preserve"> </t>
    </r>
    <r>
      <rPr>
        <b/>
        <sz val="20"/>
        <color theme="1"/>
        <rFont val="Calibri"/>
        <family val="2"/>
        <scheme val="minor"/>
      </rPr>
      <t>cartilha orientativa</t>
    </r>
    <r>
      <rPr>
        <sz val="20"/>
        <color theme="1"/>
        <rFont val="Calibri"/>
        <family val="2"/>
        <scheme val="minor"/>
      </rPr>
      <t xml:space="preserve"> </t>
    </r>
    <r>
      <rPr>
        <b/>
        <sz val="20"/>
        <color theme="1"/>
        <rFont val="Calibri"/>
        <family val="2"/>
        <scheme val="minor"/>
      </rPr>
      <t xml:space="preserve">sobre Ética </t>
    </r>
    <r>
      <rPr>
        <sz val="20"/>
        <color theme="1"/>
        <rFont val="Calibri"/>
        <family val="2"/>
        <scheme val="minor"/>
      </rPr>
      <t xml:space="preserve">para estudantes quanto ao exercício ético profissional. </t>
    </r>
  </si>
  <si>
    <r>
      <t xml:space="preserve">Infraestrutura - Grupos de Trabalho e Comissões: realizar na rotina de reuniões da Comissão, proposta de Câmara de Mediação e Conciliação. Elaborar proposta para a implementação </t>
    </r>
    <r>
      <rPr>
        <b/>
        <sz val="20"/>
        <color theme="1"/>
        <rFont val="Calibri"/>
        <family val="2"/>
        <scheme val="minor"/>
      </rPr>
      <t xml:space="preserve">uma Câmara de Mediação e Conciliação (CMC) </t>
    </r>
    <r>
      <rPr>
        <sz val="20"/>
        <color theme="1"/>
        <rFont val="Calibri"/>
        <family val="2"/>
        <scheme val="minor"/>
      </rPr>
      <t xml:space="preserve">para a solução conflitos entre arquitetos e urbanistas e seus clientes. </t>
    </r>
  </si>
  <si>
    <r>
      <t xml:space="preserve">Comunicação - Campanhas: elaborar na rotina de reuniões da Comissão, </t>
    </r>
    <r>
      <rPr>
        <b/>
        <sz val="20"/>
        <color theme="1"/>
        <rFont val="Calibri"/>
        <family val="2"/>
        <scheme val="minor"/>
      </rPr>
      <t>uma proposta de Campanha de Ética Profissional em formato de diálogo para ser vinculada em formato de áudio (</t>
    </r>
    <r>
      <rPr>
        <b/>
        <i/>
        <sz val="20"/>
        <color theme="1"/>
        <rFont val="Calibri"/>
        <family val="2"/>
        <scheme val="minor"/>
      </rPr>
      <t>podcast</t>
    </r>
    <r>
      <rPr>
        <b/>
        <sz val="20"/>
        <color theme="1"/>
        <rFont val="Calibri"/>
        <family val="2"/>
        <scheme val="minor"/>
      </rPr>
      <t>)</t>
    </r>
    <r>
      <rPr>
        <sz val="20"/>
        <color theme="1"/>
        <rFont val="Calibri"/>
        <family val="2"/>
        <scheme val="minor"/>
      </rPr>
      <t xml:space="preserve"> em veículos de comunicação, com ou sem suporte de imagens, dependendo da mídia, para divulgação do código de ética e disciplina profissional, das funções precípuas do Conselho e orientar a sociedade em que situações pode acionar o CAU/MG nesta área.</t>
    </r>
  </si>
  <si>
    <t>Elaboração de uma proposta de Campanha de Ética Profissional</t>
  </si>
  <si>
    <t>Manter e Desenvolver as Atividades da Comissão de Exercício Profissional</t>
  </si>
  <si>
    <t xml:space="preserve">Realizar o calendário de 12 (doze) Reuniões Ordinárias (Comissões, Conselho Diretor, CEAU e Plenária) para o cumprimento de suas competências regimentais e o desenvolvimento de ações previstas no seu Plano de Trabalho e no Plano Estratégico do CAU/MG, tais como: instruir, apreciar e deliberar sobre julgamento, em primeira instância, de autuação lavrada em processos de fiscalização do exercício profissional, demandas técnicas encaminhadas à CEP, definir diretrizes de fiscalização e elaborar proposta de calendário Projeto Rotas, entre outras. </t>
  </si>
  <si>
    <r>
      <t xml:space="preserve">Projeto Rotas: elaborar e realizar o calendário de </t>
    </r>
    <r>
      <rPr>
        <b/>
        <sz val="20"/>
        <rFont val="Calibri"/>
        <family val="2"/>
        <scheme val="minor"/>
      </rPr>
      <t xml:space="preserve">seis eventos integradores. </t>
    </r>
    <r>
      <rPr>
        <sz val="20"/>
        <rFont val="Calibri"/>
        <family val="2"/>
        <scheme val="minor"/>
      </rPr>
      <t>Os eventos visam promover o reconhecimento do CAU/MG como referência estadual na defesa e fomento das boas práticas de Arquitetura e Urbanismo, ampliar a visibilidade e repercussão dos serviços prestados e de sua rede de relacionamento, para além da fiscalização tradicional, integrando as atividades do CAU/MG e suas diversas Comissões com ações de outros órgãos e instituições relacionadas a Arquitetura e Urbanismo, que consistirão em espaços de reflexão e reverberação dos temas que envolvem a profissão.</t>
    </r>
  </si>
  <si>
    <r>
      <t xml:space="preserve">Projeto Rotas: elaborar na rotina de reuniões da Comissão, proposta de </t>
    </r>
    <r>
      <rPr>
        <b/>
        <sz val="20"/>
        <rFont val="Calibri"/>
        <family val="2"/>
        <scheme val="minor"/>
      </rPr>
      <t xml:space="preserve"> materiais de orientação do Projeto Rotas</t>
    </r>
    <r>
      <rPr>
        <sz val="20"/>
        <rFont val="Calibri"/>
        <family val="2"/>
        <scheme val="minor"/>
      </rPr>
      <t>, abordando os seguintes temas: legislação profissional / direitos e deveres; legislação urbanística / Direitos e deveres; procedimentos legais / responsabilidades; importância da Arquitetura e urbanismo (valorização profissional); arquitetura pública; deveres e obrigações (folder da fiscalização).</t>
    </r>
    <r>
      <rPr>
        <b/>
        <sz val="20"/>
        <rFont val="Calibri"/>
        <family val="2"/>
        <scheme val="minor"/>
      </rPr>
      <t xml:space="preserve"> </t>
    </r>
  </si>
  <si>
    <r>
      <t xml:space="preserve">Projeto Rotas: elaborar na rotina de reuniões da Comissão, proposta de </t>
    </r>
    <r>
      <rPr>
        <b/>
        <sz val="20"/>
        <rFont val="Calibri"/>
        <family val="2"/>
        <scheme val="minor"/>
      </rPr>
      <t>um adesivo de fiscalização</t>
    </r>
    <r>
      <rPr>
        <sz val="20"/>
        <rFont val="Calibri"/>
        <family val="2"/>
        <scheme val="minor"/>
      </rPr>
      <t xml:space="preserve"> para que as Arquitetas Fiscais do CAU/MG identifiquem em campo as obras já fiscalizadas pelo Conselho, visto que pelo Projeto Rotas muitas cidades são fiscalizadas mais de uma vez. </t>
    </r>
  </si>
  <si>
    <r>
      <t xml:space="preserve">Elaborar na rotina de reuniões da Comissão, proposta de </t>
    </r>
    <r>
      <rPr>
        <b/>
        <sz val="20"/>
        <rFont val="Calibri"/>
        <family val="2"/>
        <scheme val="minor"/>
      </rPr>
      <t xml:space="preserve">campanhas de conscientização e de fiscalização (Projeto Rotas) por meio de </t>
    </r>
    <r>
      <rPr>
        <b/>
        <i/>
        <sz val="20"/>
        <rFont val="Calibri"/>
        <family val="2"/>
        <scheme val="minor"/>
      </rPr>
      <t>mailing</t>
    </r>
    <r>
      <rPr>
        <b/>
        <sz val="20"/>
        <rFont val="Calibri"/>
        <family val="2"/>
        <scheme val="minor"/>
      </rPr>
      <t xml:space="preserve"> junto às seções técnicas de órgãos públicos quanto à atuação regular de seus responsáveis técnicos arquitetos e urbanistas; e às instituições de ensino superior (IES) </t>
    </r>
    <r>
      <rPr>
        <sz val="20"/>
        <rFont val="Calibri"/>
        <family val="2"/>
        <scheme val="minor"/>
      </rPr>
      <t>quanto à atuação regular dos docentes universitários mediante obrigatório registro de responsabilidade técnica.</t>
    </r>
  </si>
  <si>
    <r>
      <t xml:space="preserve">Eventos: Palestras nos encontros "CAU e a Cidade". Realizar </t>
    </r>
    <r>
      <rPr>
        <b/>
        <sz val="20"/>
        <rFont val="Calibri"/>
        <family val="2"/>
        <scheme val="minor"/>
      </rPr>
      <t xml:space="preserve">seis palestras </t>
    </r>
    <r>
      <rPr>
        <sz val="20"/>
        <rFont val="Calibri"/>
        <family val="2"/>
        <scheme val="minor"/>
      </rPr>
      <t>no Painel sobre o exercício profissional e a importância do RRT e da fiscalização dos encontros programados para acontecer em meses alternados, para promover a aproximação institucional com as agências metropolitanas, prefeituras e profissionais das regionais do CAU/MG.</t>
    </r>
  </si>
  <si>
    <t>Realização consulta pública entre os profissionais do Estado, solicitando propostas de ações de fiscalização para o CAU/MG e ações educativas para evitar o exercício ilegal da profissão.</t>
  </si>
  <si>
    <t>Ações educativas em ambientes virtuais para promoção de informações sobre o exercício profissional qualificado e inibição do exercício ilegal.</t>
  </si>
  <si>
    <t>Realização de eventos virtuais, com enforque nos locais de abrangência, para promoção das atividades correlatas ao exercício profissional e atuação da Autarquia, viabilizados em parceria com instituições profissionais.</t>
  </si>
  <si>
    <t>Realização de eventos (inicialmente virtuais), voltadas para o desenvolvimento precoce das responsabilidade profissionais, informação das competências e áreas de atuação da Arquitetura e Urbanismo e inibição do exercício ilegal.</t>
  </si>
  <si>
    <t>Elaboração de campanha de conscientização, direcionada aos órgãos pertinentes e os arquitetos que compõem seções técnicas, por meio de mailing, mídias sociais da Autarquia e correspondência postal, buscando a promoção da atuação regular, através da responsabilização técnica pelas atividades que realizam, bem como emissão de RRT de Desempenho de Cargo ou Função Técnica</t>
  </si>
  <si>
    <t>Publicações periódicas das ações de fiscalização da Autarquia;</t>
  </si>
  <si>
    <t>Aferição das denúncias recebidas pela Autarquia, através dos diversos meios disponibilizados (formulários e protocolos no SICCAU, aplicativos, e-mail, etc.)</t>
  </si>
  <si>
    <t>Aferição das listas de aprovação de projetos de edificações e parcelamentos do solo, emitidas pelas municipalidades.</t>
  </si>
  <si>
    <t xml:space="preserve">Verificação de participação de Arquitetos e Urbanistas como possível responsável técnico, bem como o Conselho de Arquitetura e Urbanismo  como órgão competente para validação dos documentos emitidos pelo profissional, visando garantir que os certames atendam ao melhor interesse público, além de colaborar para o aperfeiçoamento dos editais, garantindo o reconhecimento da Arquitetura e Urbanismo e a valorização profissional no Estado. </t>
  </si>
  <si>
    <t>Verificação das atividades técnicas desenvolvidas em municípios que não possuem Escritório Descentralizado, sob demanda (mediante recebimento de denúncias) e/ou integradas com outras atividades do Conselho, buscando aumentar as ações de fiscalização do CAU/MG, bem como a visibilidade e repercussão do Conselho junto à sociedade mineira, além de garantir a prestação mais qualificada dos serviços de Arquitetura e Urbanismo (com periodicidade aproximada de seis semanas a em cada regional).</t>
  </si>
  <si>
    <t>Verificação de documentos, placas, peças publicitárias e outros elementos de comunicação analisando se há indicação da responsabilidade técnica referente a projetos, obras e serviços em feiras, exposições e eventos, através da elaboração de registros de responsabilidade técnica (RRT) no âmbito da Arquitetura de Interiores.</t>
  </si>
  <si>
    <t>Verificação de empresas constituídas e para prestação de serviços relacionados à Arquitetura e Urbanismo, analisando se estão devidamente registradas em situação regular perante os órgãos fiscalizatórios e se os profissionais que compõem seu quadro técnicos efetuaram os respectivos Registro de Responsabilidade Técnica de Cargo ou Função.</t>
  </si>
  <si>
    <t>Abertura de procedimento fiscalizatório através de levantamento no SICCAU, será aberto processo de fiscalização em face das pessoas jurídicas que não possuem Registro de Responsabilidade Técnica de Cargo ou Função válido – seja por omissão do profissional em elaborá-lo, por desligamento de responsáveis do quadro técnico sem a substituição por outro profissional habilitado ou por identificação de RRT com data expirada.</t>
  </si>
  <si>
    <t>Abertura de procedimento fiscalizatório para regularização dos profissionais que ocupam cargos em órgão públicos cujo desempenho consista no desenvolvimento de quaisquer das atividades, atribuições e campos de atuação privativos de arquitetos e urbanistas, ou compartilhados entre estes e outras profissões regulamentadas, que dependam de habilitação legal e conhecimento técnico.</t>
  </si>
  <si>
    <t>Abertura de procedimento fiscalizatório para regularização dos docentes de Arquitetura e Urbanismo nas instituições de ensino superior em Minas Gerais, que desempenhem ou ministram atividades de ensino, pesquisa e coordenação de curso, com campos de atuação privativos de arquitetos e urbanistas, ou compartilhados entre estes e outras profissões regulamentadas, que dependam de habilitação legal e conhecimento técnico.</t>
  </si>
  <si>
    <t>Desenvolvimento de ferramentas de preenchimento automático, através de banco de dados, de histórico, leis e normas em formulários de relatórios de julgamento de processos de fiscalização.</t>
  </si>
  <si>
    <t>Sessão semestral entre gestores do CAU/MG, membros da Comissão de Exercício Profissional e sua Assessoria, Gerência, Coordenação e Agentes de Fiscalização para aperfeiçoamento e padronização dos procedimentos, instrução e atualização aceca de normatização vigente e ferramentas disponíveis.</t>
  </si>
  <si>
    <t>Reunião semestral entre Gerência, Coordenação e Agentes de Fiscalização para aperfeiçoamento e padronização dos procedimentos, instrução e atualização aceca de normatização vigente e ferramentas disponíveis.</t>
  </si>
  <si>
    <t>Reunião individualizada entre Coordenação e Agente de Fiscalização para treinamento e padronização de procedimentos.</t>
  </si>
  <si>
    <t>Manter e Desenvolver as Atividades da Comissão de Planejamento e Finanças</t>
  </si>
  <si>
    <r>
      <t xml:space="preserve">Custear </t>
    </r>
    <r>
      <rPr>
        <b/>
        <sz val="20"/>
        <rFont val="Calibri"/>
        <family val="2"/>
        <scheme val="minor"/>
      </rPr>
      <t>uma participação dos membros da Comissão</t>
    </r>
    <r>
      <rPr>
        <sz val="20"/>
        <rFont val="Calibri"/>
        <family val="2"/>
        <scheme val="minor"/>
      </rPr>
      <t xml:space="preserve"> em reuniões e eventos de interesse ou previstos pela própria comissão .</t>
    </r>
  </si>
  <si>
    <r>
      <t xml:space="preserve">Elaborar proposta de </t>
    </r>
    <r>
      <rPr>
        <b/>
        <sz val="20"/>
        <rFont val="Calibri"/>
        <family val="2"/>
        <scheme val="minor"/>
      </rPr>
      <t>um seminário entre a CPFi-CAU/BR e as CPFI-CAU/UFs</t>
    </r>
    <r>
      <rPr>
        <sz val="20"/>
        <rFont val="Calibri"/>
        <family val="2"/>
        <scheme val="minor"/>
      </rPr>
      <t xml:space="preserve"> a fim de otimizar procedimentos e a eficiência das CPFis, promover campanha de maior aproximação junto aos profissionais e empresas para valorização do pagamento das anuidades e dos RRTs, ressaltando a importância do fortalecimento da profissão, da instituição e da CAT para a qualificação profissional</t>
    </r>
  </si>
  <si>
    <t>Analisar a Proposta de Programação e Reprogramação Orçamentária do CAU/MG</t>
  </si>
  <si>
    <t>Confeccionar relatório didático/resumido semestral/anual com as informações das receitas e despesas, bem como as despesas agrupadas por ações do CAU/MG</t>
  </si>
  <si>
    <t>Manter e Desenvolver as Atividades da Comissão Especial de Patrimônio Cultural</t>
  </si>
  <si>
    <r>
      <t xml:space="preserve">Projeto Rotas: realizar calendário de </t>
    </r>
    <r>
      <rPr>
        <b/>
        <sz val="20"/>
        <rFont val="Calibri"/>
        <family val="2"/>
        <scheme val="minor"/>
      </rPr>
      <t xml:space="preserve">seis oficinas de capacitação de Patrimônio Cultural, </t>
    </r>
    <r>
      <rPr>
        <sz val="20"/>
        <rFont val="Calibri"/>
        <family val="2"/>
        <scheme val="minor"/>
      </rPr>
      <t xml:space="preserve"> voltadas para órgãos da administração pública municipal, para esclarecimentos sobre inventariamento de bens culturais e instrumentos legais correlatos.</t>
    </r>
  </si>
  <si>
    <t xml:space="preserve">Elaborar na rotina de reuniões da Comissão,  duas cartilhas: uma, intitulada "Benefícios do Patrimônio Cultural: Compensa!" e destinada à sociedade civil para a conscientização sobre a importância do  Patrimônio Cultural; outra, intitulada "O papel do arquiteto e urbanista na conservação do Patrimônio Cultural" e destinada aos órgãos públicos para tratar da importância da contratação do arquiteto e urbanista para atuação no Patrimônio Cultural. </t>
  </si>
  <si>
    <r>
      <t xml:space="preserve">Realizar </t>
    </r>
    <r>
      <rPr>
        <b/>
        <sz val="20"/>
        <rFont val="Calibri"/>
        <family val="2"/>
        <scheme val="minor"/>
      </rPr>
      <t xml:space="preserve">um evento de valorização do Patrimônio Cultural </t>
    </r>
    <r>
      <rPr>
        <sz val="20"/>
        <rFont val="Calibri"/>
        <family val="2"/>
        <scheme val="minor"/>
      </rPr>
      <t>por razão do dia Nacional do Patrimônio Cultural, comemorado anualmente no dia 17 de agosto.</t>
    </r>
  </si>
  <si>
    <t>Criação de diretrizes para Edital de Apoio Institucional - Patrimônio Cultural</t>
  </si>
  <si>
    <t>Elaboração de Cartilha de experimento para os Conselhos do Patrimônio Cultural da importância de profissionais qualificados nas atividades de proteção ao patrimônio cultural</t>
  </si>
  <si>
    <t>Elaboração de Manual de orientação aos municípios para contratação de Consultorias do ICMS Patrimônio Cultural;</t>
  </si>
  <si>
    <t>Oficinas de capacitação em patrimônio cultural para órgãos de administração municipal e Conselheiros Municipais de Patrimônio Cultural.</t>
  </si>
  <si>
    <t>Participação Institucional em Ações sobre Patrimônio Cultural em Municípios. Conforme solicitado pela Fundação Cultural do Município de Varginha.</t>
  </si>
  <si>
    <t xml:space="preserve">Ação sobre Patrimônio Cultural na cidade de Oliveira/MG em conjunto com a CEP-CAU/MG e CPUA-CAU/MG. </t>
  </si>
  <si>
    <t>Manter e Desenvolver as Atividades da Comissão Especial de Política Urbana e Ambiental</t>
  </si>
  <si>
    <t xml:space="preserve">Realizar o calendário de nove Reuniões Ordinárias (Comissões e Plenária) para o cumprimento de suas competências regimentais e o desenvolvimento de ações previstas no seu Plano de Trabalho e no Plano de Ação do CAU/MG, prevendo datas para tratativas conjuntas com as demais Comissões Especiais. </t>
  </si>
  <si>
    <r>
      <t xml:space="preserve">Inscrever e realizar </t>
    </r>
    <r>
      <rPr>
        <b/>
        <sz val="20"/>
        <color theme="1"/>
        <rFont val="Calibri"/>
        <family val="2"/>
        <scheme val="minor"/>
      </rPr>
      <t xml:space="preserve">um evento no 3° Circuito Urbano do Programa das Nações Unidas </t>
    </r>
    <r>
      <rPr>
        <sz val="20"/>
        <color theme="1"/>
        <rFont val="Calibri"/>
        <family val="2"/>
        <scheme val="minor"/>
      </rPr>
      <t>para os Assentamentos Humanos (ONU-HABITAT) abordando temas como inovações sociais, tecnológicas, econômico/financeiras e de políticas públicas e governança que contribuam para o aprimoramento dos serviços ou da política urbana. Além de debater e divulgar a Nova Agenda Urbana e os Objetivos de Desenvolvimento Sustentável (ODS), em especial o ODS 11 (“Tornar as cidades e os assentamentos humanos inclusivos, seguros, resilientes e sustentáveis”), o Circuito Urbano celebra no início do mês de outubro o Dia Mundial do Habitat e encerra, com o Dia Mundial das Cidades.</t>
    </r>
  </si>
  <si>
    <r>
      <t xml:space="preserve">Realizar </t>
    </r>
    <r>
      <rPr>
        <b/>
        <sz val="20"/>
        <color theme="1"/>
        <rFont val="Calibri"/>
        <family val="2"/>
        <scheme val="minor"/>
      </rPr>
      <t xml:space="preserve">seis palestras </t>
    </r>
    <r>
      <rPr>
        <sz val="20"/>
        <color theme="1"/>
        <rFont val="Calibri"/>
        <family val="2"/>
        <scheme val="minor"/>
      </rPr>
      <t xml:space="preserve"> nos encontros "CAU e a Cidade", no Painel sobre Planejamento Urbano e Regional dos encontros programados para acontecer em meses alternados, nas cinco cidades-sede de Escritório Descentralizados do CAU/MG: Juiz de Fora, Ipatinga, Uberlândia, Montes Claros e Poços de Caldas e na cidade-sede do CAU/MG, Belo Horizonte, para promover a aproximação institucional com as agências metropolitanas, prefeituras e profissionais das regionais do CAU/MG.</t>
    </r>
  </si>
  <si>
    <r>
      <t xml:space="preserve">Elaborar na rotina de reuniões da Comissão, uma </t>
    </r>
    <r>
      <rPr>
        <b/>
        <sz val="20"/>
        <color theme="1"/>
        <rFont val="Calibri"/>
        <family val="2"/>
        <scheme val="minor"/>
      </rPr>
      <t>cartilha</t>
    </r>
    <r>
      <rPr>
        <sz val="20"/>
        <color theme="1"/>
        <rFont val="Calibri"/>
        <family val="2"/>
        <scheme val="minor"/>
      </rPr>
      <t xml:space="preserve"> para difundir a aplicação dos instrumentos de política urbana nos municípios e regiões metropolitanas mineiras. </t>
    </r>
  </si>
  <si>
    <r>
      <t xml:space="preserve">Ampliar a representatividade do CAU/MG junto aos Municípios Mineiros mediante a aplicação de Questionário de Política Urbana, por meio de Ofícios enviados por correspondência eletrônica,  em </t>
    </r>
    <r>
      <rPr>
        <b/>
        <sz val="20"/>
        <color theme="1"/>
        <rFont val="Calibri"/>
        <family val="2"/>
        <scheme val="minor"/>
      </rPr>
      <t>41 municípios mineiros</t>
    </r>
    <r>
      <rPr>
        <sz val="20"/>
        <color theme="1"/>
        <rFont val="Calibri"/>
        <family val="2"/>
        <scheme val="minor"/>
      </rPr>
      <t xml:space="preserve"> selecionados pela Comissão por representarem 40% da população do Estado e conter 74% dos arquitetos e urbanistas ativos de Minas Gerais.</t>
    </r>
  </si>
  <si>
    <r>
      <t>Minutar e encaminhar para a aprovação do Plenário, uma proposta de requerimento de constituição na Assembleia Legislativa de Minas Gerais (ALMG)</t>
    </r>
    <r>
      <rPr>
        <b/>
        <sz val="20"/>
        <color theme="1"/>
        <rFont val="Calibri"/>
        <family val="2"/>
        <scheme val="minor"/>
      </rPr>
      <t xml:space="preserve"> </t>
    </r>
    <r>
      <rPr>
        <sz val="20"/>
        <color theme="1"/>
        <rFont val="Calibri"/>
        <family val="2"/>
        <scheme val="minor"/>
      </rPr>
      <t xml:space="preserve">de </t>
    </r>
    <r>
      <rPr>
        <b/>
        <sz val="20"/>
        <color theme="1"/>
        <rFont val="Calibri"/>
        <family val="2"/>
        <scheme val="minor"/>
      </rPr>
      <t xml:space="preserve">Frente Parlamentar em Defesa da arquitetura e urbanismo como política de Estado, </t>
    </r>
    <r>
      <rPr>
        <sz val="20"/>
        <color theme="1"/>
        <rFont val="Calibri"/>
        <family val="2"/>
        <scheme val="minor"/>
      </rPr>
      <t>com a finalidade de debater e comunicar matérias legislativas que tratam da produção da Arquitetura e Urbanismo no Estado.</t>
    </r>
  </si>
  <si>
    <r>
      <t xml:space="preserve">Evento: II Seminário Legislativo ALMG e CAU/MG. Elaborar </t>
    </r>
    <r>
      <rPr>
        <b/>
        <sz val="20"/>
        <color theme="1"/>
        <rFont val="Calibri"/>
        <family val="2"/>
        <scheme val="minor"/>
      </rPr>
      <t>um evento</t>
    </r>
    <r>
      <rPr>
        <sz val="20"/>
        <color theme="1"/>
        <rFont val="Calibri"/>
        <family val="2"/>
        <scheme val="minor"/>
      </rPr>
      <t xml:space="preserve"> </t>
    </r>
    <r>
      <rPr>
        <sz val="20"/>
        <color theme="1"/>
        <rFont val="Calibri"/>
        <family val="2"/>
        <scheme val="minor"/>
      </rPr>
      <t xml:space="preserve"> para debater Projetos de Lei Estaduais e Normas que tratam do tema Arquitetura e Urbanismo em suas diversas dimensões: mercado de trabalho, construção civil, política urbana, habitação de interesse social, dentre outras.</t>
    </r>
  </si>
  <si>
    <t>Proposição de frente parlamentar na ALMG em conjunto com outras comissões do CAU/MG.</t>
  </si>
  <si>
    <t>Elencar projetos de lei estaduais para a atuação do CAU/MG.</t>
  </si>
  <si>
    <t>Articular o II Seminário Legislativo ALMG e CAU/MG para o ano de 2022.</t>
  </si>
  <si>
    <t>Estabelecer, por meio de edital, convênios com instituições para qualificar e capacitar os profissionais Arquitetos e Urbanistas para trabalhar com regularização fundiária.</t>
  </si>
  <si>
    <t>Promover uma seleção por meio de edital para desenvolvimento de conteúdo pedagógico para ensino fundamental e médio sobre política urbana e ambiental que seja de uso livre e enviar para a aprovação do Conselho Diretor do CAU/MG.</t>
  </si>
  <si>
    <t>Promover seleção por meio de edital ou através de empresa contratada para elaboração de cartilhas com temáticas diversas dentro do plano de trabalho da CPUA.</t>
  </si>
  <si>
    <t>Produzir conteúdo relativo a suas competências regimentais para campanha em formato de diálogo – podcast (ref. Protocolo Siccau n. 1145686/2020)</t>
  </si>
  <si>
    <t>Retomar a página de planejamento urbano e ambiental no site do CAU/MG, com acesso direto pela página inicial dentre as abas horizontais localizadas à direita da página inicial (similar ao acesso da página de ensino e formação e ATHIS) facilitando o acesso ao conteúdo produzido.</t>
  </si>
  <si>
    <t>Promover parcerias com instituições públicas e privadas como Governo de Minas, MPMG, AMM, OAB, SEBRAE, FAPEMIG, dentre outras.</t>
  </si>
  <si>
    <t xml:space="preserve">Promover a participação do CAU/MG na UIA 2021 através do envio de conteúdo, como o relatório produzido no evento preparatório “UIA 2020” dentre outros.  </t>
  </si>
  <si>
    <t>Inscrever e realizar um evento no 3° Circuito Urbano do Programa das Nações Unidas para os Assentamentos Humanos (ONU-HABITAT).</t>
  </si>
  <si>
    <t>Propor ações conjuntas com as demais Comissões Especiais, tais como, o 2° Seminário Conjunto das Comissões Especiais.</t>
  </si>
  <si>
    <r>
      <t xml:space="preserve">Manutenção de </t>
    </r>
    <r>
      <rPr>
        <b/>
        <sz val="20"/>
        <rFont val="Calibri"/>
        <family val="2"/>
        <scheme val="minor"/>
      </rPr>
      <t>100% das despesas mensais com o pagamento de colaboradores e benefícios</t>
    </r>
    <r>
      <rPr>
        <sz val="20"/>
        <rFont val="Calibri"/>
        <family val="2"/>
        <scheme val="minor"/>
      </rPr>
      <t xml:space="preserve"> para o cumprimento das atividades de atendimento e fiscalização realizadas no escritório descentralizado.</t>
    </r>
  </si>
  <si>
    <r>
      <t xml:space="preserve">Manutenção de </t>
    </r>
    <r>
      <rPr>
        <b/>
        <sz val="20"/>
        <rFont val="Calibri"/>
        <family val="2"/>
        <scheme val="minor"/>
      </rPr>
      <t>100% das despesas mensais com material de expediente, material de copa e cozinha, fornecimento de gêneros alimentícios e materiais para manutenção de bens móveis</t>
    </r>
    <r>
      <rPr>
        <sz val="20"/>
        <rFont val="Calibri"/>
        <family val="2"/>
        <scheme val="minor"/>
      </rPr>
      <t>.</t>
    </r>
  </si>
  <si>
    <r>
      <t>Manutenção de</t>
    </r>
    <r>
      <rPr>
        <b/>
        <sz val="20"/>
        <rFont val="Calibri"/>
        <family val="2"/>
        <scheme val="minor"/>
      </rPr>
      <t xml:space="preserve"> 100% das despesas mensais com os serviços de internet, informática, telecomunicações, limpeza e conservação, energia elétrica, medicina do trabalho, seguros diversos, despesas miúdas de pronto pagamento e demais serviços </t>
    </r>
    <r>
      <rPr>
        <sz val="20"/>
        <rFont val="Calibri"/>
        <family val="2"/>
        <scheme val="minor"/>
      </rPr>
      <t>necessários para o cumprimento das atividades de atendimento e fiscalização realizadas no escritório descentralizado.</t>
    </r>
  </si>
  <si>
    <r>
      <t xml:space="preserve">Manutenção de </t>
    </r>
    <r>
      <rPr>
        <b/>
        <sz val="20"/>
        <rFont val="Calibri"/>
        <family val="2"/>
        <scheme val="minor"/>
      </rPr>
      <t>100% das despesas mensais com o pagamento de Indenizações e restituições, Impostos e taxas e tarifas bancárias.</t>
    </r>
  </si>
  <si>
    <t>Manter e Desenvolver as Atividades do Escritório Descentralizado Zona da Mata e Vertentes.</t>
  </si>
  <si>
    <r>
      <t>Manutenção de</t>
    </r>
    <r>
      <rPr>
        <b/>
        <sz val="20"/>
        <rFont val="Calibri"/>
        <family val="2"/>
        <scheme val="minor"/>
      </rPr>
      <t xml:space="preserve"> 100% das despesas mensais com os serviços de internet, informática, telecomunicações, limpeza e conservação, energia elétrica, medicina do trabalho e demais serviços </t>
    </r>
    <r>
      <rPr>
        <sz val="20"/>
        <rFont val="Calibri"/>
        <family val="2"/>
        <scheme val="minor"/>
      </rPr>
      <t>necessários para o cumprimento das atividades de atendimento e fiscalização realizadas no escritório descentralizado.</t>
    </r>
  </si>
  <si>
    <r>
      <t xml:space="preserve">Manutenção de </t>
    </r>
    <r>
      <rPr>
        <b/>
        <sz val="20"/>
        <rFont val="Calibri"/>
        <family val="2"/>
        <scheme val="minor"/>
      </rPr>
      <t>100% das despesas mensais com o pagamento de Indenizações e restituições, Impostos e taxas, tarifas bancárias, seguros diversos, despesas miúdas de pronto pagamento</t>
    </r>
    <r>
      <rPr>
        <sz val="20"/>
        <rFont val="Calibri"/>
        <family val="2"/>
        <scheme val="minor"/>
      </rPr>
      <t>.</t>
    </r>
  </si>
  <si>
    <r>
      <t xml:space="preserve">Manutenção de </t>
    </r>
    <r>
      <rPr>
        <b/>
        <sz val="20"/>
        <color theme="1"/>
        <rFont val="Calibri"/>
        <family val="2"/>
        <scheme val="minor"/>
      </rPr>
      <t>100% das despesas mensais com o pagamento de colaboradores e benefícios</t>
    </r>
    <r>
      <rPr>
        <sz val="20"/>
        <color theme="1"/>
        <rFont val="Calibri"/>
        <family val="2"/>
        <scheme val="minor"/>
      </rPr>
      <t xml:space="preserve"> para o cumprimento das atribuições da gerência.</t>
    </r>
  </si>
  <si>
    <r>
      <t xml:space="preserve">Manutenção de </t>
    </r>
    <r>
      <rPr>
        <b/>
        <sz val="20"/>
        <color theme="1"/>
        <rFont val="Calibri"/>
        <family val="2"/>
        <scheme val="minor"/>
      </rPr>
      <t>100% das despesas mensais com material de expediente, material de copa e cozinha, fornecimento de gêneros alimentícios e materiais para manutenção de bens móveis</t>
    </r>
    <r>
      <rPr>
        <sz val="20"/>
        <color theme="1"/>
        <rFont val="Calibri"/>
        <family val="2"/>
        <scheme val="minor"/>
      </rPr>
      <t>.</t>
    </r>
  </si>
  <si>
    <r>
      <t xml:space="preserve">Manutenção de </t>
    </r>
    <r>
      <rPr>
        <b/>
        <sz val="20"/>
        <color theme="1"/>
        <rFont val="Calibri"/>
        <family val="2"/>
        <scheme val="minor"/>
      </rPr>
      <t>100% das despesas mensais com os serviços de internet, informática, telecomunicações, limpeza e conservação, energia elétrica, medicina do trabalho, contratação de estagiários, Publicação de Editais, Despesas Miúdas de Pronto Pagamento e Demais Serviços Prestados</t>
    </r>
    <r>
      <rPr>
        <sz val="20"/>
        <color theme="1"/>
        <rFont val="Calibri"/>
        <family val="2"/>
        <scheme val="minor"/>
      </rPr>
      <t xml:space="preserve"> para o cumprimento das atribuições da gerência administrativa e financeira.</t>
    </r>
  </si>
  <si>
    <r>
      <rPr>
        <b/>
        <sz val="20"/>
        <color theme="1"/>
        <rFont val="Calibri"/>
        <family val="2"/>
        <scheme val="minor"/>
      </rPr>
      <t xml:space="preserve">Aquisição de 100% de bens imobilizados necessários para Sede e Escritórios Descentralizados </t>
    </r>
    <r>
      <rPr>
        <sz val="20"/>
        <color theme="1"/>
        <rFont val="Calibri"/>
        <family val="2"/>
        <scheme val="minor"/>
      </rPr>
      <t>do CAU/MG.</t>
    </r>
  </si>
  <si>
    <t>Manter e Desenvolver as Atividades da Gerência Administrativa e Financeira</t>
  </si>
  <si>
    <t>Visita, em conjunto com a área técnica, a todas unidades de Escritórios Descentralizados para levantamento de possíveis necessidades de aprimoramento (Infraestrutura, Pessoal, Processos Internos, Visibilidade, Acessibibilidade e Outros posteriormente elencados)</t>
  </si>
  <si>
    <t>Realização anual de audiência pública virtual de prestação de contas do CAU/MG (demonstração de  fontes de renda, e as despesas realizadas, as projeções para o ano seguinte, as despesas agrupadas por ações do CAU/MG e os formatos de pesquisa no Portal da Transparência).</t>
  </si>
  <si>
    <t>Fundo de Apoio aos CAU/UF</t>
  </si>
  <si>
    <r>
      <t xml:space="preserve">Cumprir o calendário de </t>
    </r>
    <r>
      <rPr>
        <b/>
        <sz val="20"/>
        <color theme="1"/>
        <rFont val="Calibri"/>
        <family val="2"/>
        <scheme val="minor"/>
      </rPr>
      <t>12 (doze) parcelas</t>
    </r>
    <r>
      <rPr>
        <sz val="20"/>
        <color theme="1"/>
        <rFont val="Calibri"/>
        <family val="2"/>
        <scheme val="minor"/>
      </rPr>
      <t xml:space="preserve"> </t>
    </r>
    <r>
      <rPr>
        <b/>
        <sz val="20"/>
        <color theme="1"/>
        <rFont val="Calibri"/>
        <family val="2"/>
        <scheme val="minor"/>
      </rPr>
      <t>de repasse mensal ao Fundo de Apoio</t>
    </r>
    <r>
      <rPr>
        <sz val="20"/>
        <color theme="1"/>
        <rFont val="Calibri"/>
        <family val="2"/>
        <scheme val="minor"/>
      </rPr>
      <t>.</t>
    </r>
  </si>
  <si>
    <t xml:space="preserve">Centro de Serviços Compartilhados (CSC) - Fiscalização </t>
  </si>
  <si>
    <r>
      <t xml:space="preserve">Cumprir calendário de </t>
    </r>
    <r>
      <rPr>
        <b/>
        <sz val="20"/>
        <color theme="1"/>
        <rFont val="Calibri"/>
        <family val="2"/>
        <scheme val="minor"/>
      </rPr>
      <t>12 (doze) parcelas de repasse mensal ao Centro de Serviços Compartilhados (CSC)</t>
    </r>
    <r>
      <rPr>
        <sz val="20"/>
        <color theme="1"/>
        <rFont val="Calibri"/>
        <family val="2"/>
        <scheme val="minor"/>
      </rPr>
      <t xml:space="preserve"> do CAU/BR.</t>
    </r>
  </si>
  <si>
    <t>Centro de Serviços Compartilhados (CSC) - Atendimento</t>
  </si>
  <si>
    <r>
      <t xml:space="preserve">Cumprir calendário de </t>
    </r>
    <r>
      <rPr>
        <b/>
        <sz val="20"/>
        <color theme="1"/>
        <rFont val="Calibri"/>
        <family val="2"/>
        <scheme val="minor"/>
      </rPr>
      <t>12 (doze) parcelas</t>
    </r>
    <r>
      <rPr>
        <sz val="20"/>
        <color theme="1"/>
        <rFont val="Calibri"/>
        <family val="2"/>
        <scheme val="minor"/>
      </rPr>
      <t xml:space="preserve"> </t>
    </r>
    <r>
      <rPr>
        <b/>
        <sz val="20"/>
        <color theme="1"/>
        <rFont val="Calibri"/>
        <family val="2"/>
        <scheme val="minor"/>
      </rPr>
      <t>de repasse mensal ao Centro de Serviços Compartilhados (CSC) do CAU/BR, no que tange ao Teleatendimento Qualificado (TAQ) e ao Teleatendimento pelo 0800</t>
    </r>
    <r>
      <rPr>
        <sz val="20"/>
        <color theme="1"/>
        <rFont val="Calibri"/>
        <family val="2"/>
        <scheme val="minor"/>
      </rPr>
      <t>.</t>
    </r>
  </si>
  <si>
    <t>Reserva de Contingência</t>
  </si>
  <si>
    <r>
      <t xml:space="preserve">Garantir Reserva de Contingência a partir da criação de </t>
    </r>
    <r>
      <rPr>
        <b/>
        <sz val="20"/>
        <color theme="1"/>
        <rFont val="Calibri"/>
        <family val="2"/>
        <scheme val="minor"/>
      </rPr>
      <t>um fundo para despesas não previstas</t>
    </r>
    <r>
      <rPr>
        <sz val="20"/>
        <color theme="1"/>
        <rFont val="Calibri"/>
        <family val="2"/>
        <scheme val="minor"/>
      </rPr>
      <t xml:space="preserve"> </t>
    </r>
    <r>
      <rPr>
        <b/>
        <sz val="20"/>
        <color theme="1"/>
        <rFont val="Calibri"/>
        <family val="2"/>
        <scheme val="minor"/>
      </rPr>
      <t>ou necessidade de transposições.</t>
    </r>
  </si>
  <si>
    <t>Manter e Desenvolver as Atividades da Gerência Especial de Planejamento e Gestão Estratégica</t>
  </si>
  <si>
    <r>
      <t xml:space="preserve">Manutenção de </t>
    </r>
    <r>
      <rPr>
        <b/>
        <sz val="20"/>
        <rFont val="Calibri"/>
        <family val="2"/>
        <scheme val="minor"/>
      </rPr>
      <t xml:space="preserve">100% das despesas mensais com o pagamento de colaboradores e benefícios </t>
    </r>
    <r>
      <rPr>
        <sz val="20"/>
        <rFont val="Calibri"/>
        <family val="2"/>
        <scheme val="minor"/>
      </rPr>
      <t>para o cumprimento das atribuições da Gerência, tais como: Elaboração dos Planos de Ação; Termos de cooperação técnica com municípios e órgãos públicos; Apoio à Presidência; Acompanhamento dos Indicadores Estratégicos revisados; Elaboração e consolidação das propostas de Programação e Reprogramação Orçamentária; Elaboração e consolidação dos Relatórios de Gestão; Atualização do fluxo de trabalho de processos operacioanis padrão (POP).</t>
    </r>
  </si>
  <si>
    <r>
      <t xml:space="preserve">Manutenção de </t>
    </r>
    <r>
      <rPr>
        <b/>
        <sz val="20"/>
        <rFont val="Calibri"/>
        <family val="2"/>
        <scheme val="minor"/>
      </rPr>
      <t>100% das despesas mensais com hospedagens de servidores, serviço de postagens institucionais, serviços de transporte urbanos (Táxi)</t>
    </r>
    <r>
      <rPr>
        <sz val="20"/>
        <rFont val="Calibri"/>
        <family val="2"/>
        <scheme val="minor"/>
      </rPr>
      <t xml:space="preserve"> para o cumprimento das atribuições da Gerência, tais como: Termos de cooperação técnica com municípios e órgãos públicos; Apoio à Presidência.</t>
    </r>
  </si>
  <si>
    <r>
      <t xml:space="preserve">Revisão do Planejamento Estratégico do CAU: </t>
    </r>
    <r>
      <rPr>
        <b/>
        <sz val="20"/>
        <rFont val="Calibri"/>
        <family val="2"/>
        <scheme val="minor"/>
      </rPr>
      <t>pagamento de diárias para participar de atividades</t>
    </r>
    <r>
      <rPr>
        <sz val="20"/>
        <rFont val="Calibri"/>
        <family val="2"/>
        <scheme val="minor"/>
      </rPr>
      <t xml:space="preserve"> relacionadas à revisão dos indicadores estratégicos, dos limites de aplicação de recursos e do modelo de elaboração do Plano de Ação e Orçamento do CAU, que incluem as reuniões do Fórum dos Presidentes dos CAU/UFs e do seu Grupo de Trabalho de Planejamento Estratégico (GTPE) e reuniões do Grupo de Trabalho de Revisão do Planejamento Estratégico do CAU/BR (Gtarpe).</t>
    </r>
  </si>
  <si>
    <r>
      <t xml:space="preserve">Revisão do Planejamento Estratégico do CAU: </t>
    </r>
    <r>
      <rPr>
        <b/>
        <sz val="20"/>
        <rFont val="Calibri"/>
        <family val="2"/>
        <scheme val="minor"/>
      </rPr>
      <t>pagamento de passagens aéreas para participar de atividades</t>
    </r>
    <r>
      <rPr>
        <sz val="20"/>
        <rFont val="Calibri"/>
        <family val="2"/>
        <scheme val="minor"/>
      </rPr>
      <t xml:space="preserve"> relacionadas à revisão dos indicadores estratégicos, dos limites de aplicação de recursos e do modelo de elaboração do Plano de Ação e Orçamento do CAU, que incluem as reuniões do Fórum dos Presidentes dos CAU/UFs e do seu Grupo de Trabalho de Planejamento Estratégico (GTPE) e reuniões do Grupo de Trabalho de Revisão do Planejamento Estratégico do CAU/BR (Gtarpe).</t>
    </r>
  </si>
  <si>
    <r>
      <t xml:space="preserve">Eventos: </t>
    </r>
    <r>
      <rPr>
        <b/>
        <sz val="20"/>
        <rFont val="Calibri"/>
        <family val="2"/>
        <scheme val="minor"/>
      </rPr>
      <t>elaborar um calendário de seis encontros</t>
    </r>
    <r>
      <rPr>
        <sz val="20"/>
        <rFont val="Calibri"/>
        <family val="2"/>
        <scheme val="minor"/>
      </rPr>
      <t xml:space="preserve"> </t>
    </r>
    <r>
      <rPr>
        <b/>
        <sz val="20"/>
        <rFont val="Calibri"/>
        <family val="2"/>
        <scheme val="minor"/>
      </rPr>
      <t>denominados "CAU e a Cidade"</t>
    </r>
    <r>
      <rPr>
        <sz val="20"/>
        <rFont val="Calibri"/>
        <family val="2"/>
        <scheme val="minor"/>
      </rPr>
      <t>, programados para acontecer em meses alternados, nas cinco cidades-sede de Escritório Descentralizados do CAU/MG: Juiz de Fora, Ipatinga, Uberlândia, Montes Claros e Poços de Caldas e na cidade-sede do CAU/MG, Belo Horizonte, para promover a aproximação institucional com as agências metropolitanas, prefeituras e profissionais das regionais do CAU/MG, a partir dos seguintes temas: 1 - Institucional do CAU/MG, enfatizando o seu papel perante a sociedade (PRES); 2 - Painel sobre o exercício profissional e a importância do RRT e da fiscalização (CEP); 3 - Painel sobre Planejamento Urbano e Regional (CPUA), e outro definido por consulta pública realizada para cada região (Ascom).</t>
    </r>
  </si>
  <si>
    <r>
      <t>Apurar junto a Assembleia Legislativa de Minas Gerais (ALMG)</t>
    </r>
    <r>
      <rPr>
        <b/>
        <sz val="20"/>
        <rFont val="Calibri"/>
        <family val="2"/>
        <scheme val="minor"/>
      </rPr>
      <t xml:space="preserve"> matérias</t>
    </r>
    <r>
      <rPr>
        <sz val="20"/>
        <rFont val="Calibri"/>
        <family val="2"/>
        <scheme val="minor"/>
      </rPr>
      <t xml:space="preserve"> </t>
    </r>
    <r>
      <rPr>
        <b/>
        <sz val="20"/>
        <rFont val="Calibri"/>
        <family val="2"/>
        <scheme val="minor"/>
      </rPr>
      <t>de caráter legislativo</t>
    </r>
    <r>
      <rPr>
        <sz val="20"/>
        <rFont val="Calibri"/>
        <family val="2"/>
        <scheme val="minor"/>
      </rPr>
      <t xml:space="preserve"> em tramitação referentes à área de atuação do CAU e encaminhamento para as comissões permanentes, temporária (se for o caso) e colegiado de entidades para apreciação no âmbito de respectivas competências e jurisdição.</t>
    </r>
  </si>
  <si>
    <t>Intensificar tratativas com os municípios, a fim de firmar novos Termos de Cooperação Técnica</t>
  </si>
  <si>
    <t>Ampliar parcerias com instituições públicas e privadas</t>
  </si>
  <si>
    <t>Acompanhar junto à COA o aprimoramento do edital de credenciamento de pessoas jurídicas na concessão de descontos aos arquitetos e urbanistas</t>
  </si>
  <si>
    <t>Acompanhar junto à SecGeral e Gergel as representações institucionais, encaminhando informações relevantes ao Conselho</t>
  </si>
  <si>
    <t>Ampliar a vinculação do planejamento estratégico aos Objetivos de Desenvolvimento Sustentável da Agenda 2030</t>
  </si>
  <si>
    <t>Monitorar (junto a uma assessoria parlamentar) a tramitação de projetos de lei com temas relacionados à Arquitetura e Urbanismo</t>
  </si>
  <si>
    <t>Manter rotina de elaboração dos relatórios de gestão e prestação de contas, semestral e anualmente, seguindo modelos e normativos do TCU, com foco para a sociedade em geral</t>
  </si>
  <si>
    <t>Acompanhar a atualização do Portal da Transparência, junto aos demais responsáveis designados pela Presidência</t>
  </si>
  <si>
    <t>Eventos Técnicos e Seminários</t>
  </si>
  <si>
    <r>
      <t xml:space="preserve">Manutenção de </t>
    </r>
    <r>
      <rPr>
        <b/>
        <sz val="20"/>
        <color theme="1"/>
        <rFont val="Calibri"/>
        <family val="2"/>
        <scheme val="minor"/>
      </rPr>
      <t>100% das despesas mensais com diárias de colaboradore</t>
    </r>
    <r>
      <rPr>
        <sz val="20"/>
        <color theme="1"/>
        <rFont val="Calibri"/>
        <family val="2"/>
        <scheme val="minor"/>
      </rPr>
      <t>s para a realização de eventos do CAU/MG fora do município Sede do CAU/MG.</t>
    </r>
  </si>
  <si>
    <r>
      <t xml:space="preserve">Manutenção de </t>
    </r>
    <r>
      <rPr>
        <b/>
        <sz val="20"/>
        <color theme="1"/>
        <rFont val="Calibri"/>
        <family val="2"/>
        <scheme val="minor"/>
      </rPr>
      <t>100% das despesas mensais com diárias de dirigentes, convidados e palestrantes</t>
    </r>
    <r>
      <rPr>
        <sz val="20"/>
        <color theme="1"/>
        <rFont val="Calibri"/>
        <family val="2"/>
        <scheme val="minor"/>
      </rPr>
      <t xml:space="preserve"> para a participação em eventos do CAU/MG.</t>
    </r>
  </si>
  <si>
    <r>
      <t xml:space="preserve">Manutenção de </t>
    </r>
    <r>
      <rPr>
        <b/>
        <sz val="20"/>
        <color theme="1"/>
        <rFont val="Calibri"/>
        <family val="2"/>
        <scheme val="minor"/>
      </rPr>
      <t xml:space="preserve">100% das despesas com a locação de espaço físico, fornecimento de equipamentos e mobiliários, fornecimento de serviços especializados com equipamentos da contratada e contratação de pessoal para realização de eventos </t>
    </r>
    <r>
      <rPr>
        <sz val="20"/>
        <color theme="1"/>
        <rFont val="Calibri"/>
        <family val="2"/>
        <scheme val="minor"/>
      </rPr>
      <t>do CAU/MG.</t>
    </r>
  </si>
  <si>
    <r>
      <t xml:space="preserve">Manutenção de </t>
    </r>
    <r>
      <rPr>
        <b/>
        <sz val="20"/>
        <color theme="1"/>
        <rFont val="Calibri"/>
        <family val="2"/>
        <scheme val="minor"/>
      </rPr>
      <t>100% das despesas com o fornecimento de produtos alimentícios e congêneres para eventos</t>
    </r>
    <r>
      <rPr>
        <sz val="20"/>
        <color theme="1"/>
        <rFont val="Calibri"/>
        <family val="2"/>
        <scheme val="minor"/>
      </rPr>
      <t xml:space="preserve"> realizados pelo CAU/MG. </t>
    </r>
  </si>
  <si>
    <r>
      <t xml:space="preserve">MINASCON: </t>
    </r>
    <r>
      <rPr>
        <b/>
        <sz val="20"/>
        <color theme="1"/>
        <rFont val="Calibri"/>
        <family val="2"/>
        <scheme val="minor"/>
      </rPr>
      <t xml:space="preserve">apoiar e participar de um evento </t>
    </r>
    <r>
      <rPr>
        <sz val="20"/>
        <color theme="1"/>
        <rFont val="Calibri"/>
        <family val="2"/>
        <scheme val="minor"/>
      </rPr>
      <t>realizado pela Federação das Industrias do Estado de Minas Gerais (FIEMG) de repercussão estadual.</t>
    </r>
  </si>
  <si>
    <r>
      <t xml:space="preserve">CASACOR Minas Gerais : </t>
    </r>
    <r>
      <rPr>
        <b/>
        <sz val="20"/>
        <color theme="1"/>
        <rFont val="Calibri"/>
        <family val="2"/>
        <scheme val="minor"/>
      </rPr>
      <t>apoiar e participar em forma de palestra de uma mostra</t>
    </r>
    <r>
      <rPr>
        <sz val="20"/>
        <color theme="1"/>
        <rFont val="Calibri"/>
        <family val="2"/>
        <scheme val="minor"/>
      </rPr>
      <t xml:space="preserve"> de arquitetura, design de interiores e paisagismo, que reúne renomados arquitetos, designers de interiores e paisagistas.</t>
    </r>
  </si>
  <si>
    <r>
      <t xml:space="preserve">16° Dia do Síndico: </t>
    </r>
    <r>
      <rPr>
        <b/>
        <sz val="20"/>
        <color theme="1"/>
        <rFont val="Calibri"/>
        <family val="2"/>
        <scheme val="minor"/>
      </rPr>
      <t xml:space="preserve">apoiar e participar junto com a CEP-CAU/MG e CEMIG de um evento </t>
    </r>
    <r>
      <rPr>
        <sz val="20"/>
        <color theme="1"/>
        <rFont val="Calibri"/>
        <family val="2"/>
        <scheme val="minor"/>
      </rPr>
      <t>comemorativo do dia do síndico celebrado, em 30 de novembro, realizado pelo Sindicato dos Condomínios Comerciais Residenciais e Mistos de Minas Gerais  (Sindicon-MG).</t>
    </r>
  </si>
  <si>
    <t>Manter e Desenvolver as Atividades da Gerência Geral</t>
  </si>
  <si>
    <r>
      <t xml:space="preserve">Manutenção de </t>
    </r>
    <r>
      <rPr>
        <b/>
        <sz val="20"/>
        <rFont val="Calibri"/>
        <family val="2"/>
        <scheme val="minor"/>
      </rPr>
      <t>100% das despesas mensais</t>
    </r>
    <r>
      <rPr>
        <sz val="20"/>
        <rFont val="Calibri"/>
        <family val="2"/>
        <scheme val="minor"/>
      </rPr>
      <t xml:space="preserve"> </t>
    </r>
    <r>
      <rPr>
        <b/>
        <sz val="20"/>
        <rFont val="Calibri"/>
        <family val="2"/>
        <scheme val="minor"/>
      </rPr>
      <t>com o pagamento de colaboradores e benefícios</t>
    </r>
    <r>
      <rPr>
        <sz val="20"/>
        <rFont val="Calibri"/>
        <family val="2"/>
        <scheme val="minor"/>
      </rPr>
      <t xml:space="preserve"> para o cumprimento das atribuições da gerência, dentre as quais: monitoramento e realização do Plano de Ação; integração das atividades realizadas pelas unidades administrativas do CAU/MG.</t>
    </r>
  </si>
  <si>
    <r>
      <t xml:space="preserve">Manutenção de </t>
    </r>
    <r>
      <rPr>
        <b/>
        <sz val="20"/>
        <rFont val="Calibri"/>
        <family val="2"/>
        <scheme val="minor"/>
      </rPr>
      <t>100% das despesas mensais</t>
    </r>
    <r>
      <rPr>
        <sz val="20"/>
        <rFont val="Calibri"/>
        <family val="2"/>
        <scheme val="minor"/>
      </rPr>
      <t xml:space="preserve"> </t>
    </r>
    <r>
      <rPr>
        <b/>
        <sz val="20"/>
        <rFont val="Calibri"/>
        <family val="2"/>
        <scheme val="minor"/>
      </rPr>
      <t>com o pagamento de diárias a colaboradores</t>
    </r>
    <r>
      <rPr>
        <sz val="20"/>
        <rFont val="Calibri"/>
        <family val="2"/>
        <scheme val="minor"/>
      </rPr>
      <t xml:space="preserve"> para o cumprimento das atribuições da gerência, dentre as quais: monitoramento e realização do Plano de Ação; integração das atividades realizadas pelas unidades administrativas do CAU/MG.</t>
    </r>
  </si>
  <si>
    <r>
      <t xml:space="preserve">Manutenção de </t>
    </r>
    <r>
      <rPr>
        <b/>
        <sz val="20"/>
        <rFont val="Calibri"/>
        <family val="2"/>
        <scheme val="minor"/>
      </rPr>
      <t>100% das despesas mensais</t>
    </r>
    <r>
      <rPr>
        <sz val="20"/>
        <rFont val="Calibri"/>
        <family val="2"/>
        <scheme val="minor"/>
      </rPr>
      <t xml:space="preserve"> </t>
    </r>
    <r>
      <rPr>
        <b/>
        <sz val="20"/>
        <rFont val="Calibri"/>
        <family val="2"/>
        <scheme val="minor"/>
      </rPr>
      <t>com o pagamento de passagens aéreas e despesas com transporte urbanos (Táxi)</t>
    </r>
    <r>
      <rPr>
        <sz val="20"/>
        <rFont val="Calibri"/>
        <family val="2"/>
        <scheme val="minor"/>
      </rPr>
      <t>, para o cumprimento das atribuições da gerência.</t>
    </r>
  </si>
  <si>
    <t>Constituição de Grupo de Trabalho sobre tecnologia no CAU/MG</t>
  </si>
  <si>
    <t>Constituição de Grupo de Trabalho para discutir o futuro da sede do CAU/MG</t>
  </si>
  <si>
    <t>Criação de uma Comissão de Equidade e Diversidade</t>
  </si>
  <si>
    <t>Adequação de espaços físicos nos escritórios descentralizados</t>
  </si>
  <si>
    <t>Manter e Desenvolver as Atividades da Gerência Jurídica</t>
  </si>
  <si>
    <r>
      <t xml:space="preserve">Manutenção de </t>
    </r>
    <r>
      <rPr>
        <b/>
        <sz val="20"/>
        <rFont val="Calibri"/>
        <family val="2"/>
        <scheme val="minor"/>
      </rPr>
      <t>100% das despesas mensais com o pagamento de colaboradores e benefícios</t>
    </r>
    <r>
      <rPr>
        <sz val="20"/>
        <rFont val="Calibri"/>
        <family val="2"/>
        <scheme val="minor"/>
      </rPr>
      <t xml:space="preserve"> para o cumprimento das atribuições da gerência, tais como: atuar em ajuizamento e defesa em ações do CAU/MG na Justiça; Cumprir expedientes de rotina atribuída à Gerência pelos atos normativos do CAU/MG, emitir pareceres jurídicos etc.</t>
    </r>
  </si>
  <si>
    <r>
      <t xml:space="preserve">Manutenção de </t>
    </r>
    <r>
      <rPr>
        <b/>
        <sz val="20"/>
        <rFont val="Calibri"/>
        <family val="2"/>
        <scheme val="minor"/>
      </rPr>
      <t>100% das despesas mensais com o pagamento de diárias aos colaboradores</t>
    </r>
    <r>
      <rPr>
        <sz val="20"/>
        <rFont val="Calibri"/>
        <family val="2"/>
        <scheme val="minor"/>
      </rPr>
      <t xml:space="preserve"> para o cumprimento das atribuições da gerência, tais como: atuar em ajuizamento e defesa em ações do CAU/MG na Justiça; Cumprir expedientes de rotina atribuída à Gerência pelos atos normativos do CAU/MG, emitir pareceres jurídicos etc.</t>
    </r>
  </si>
  <si>
    <r>
      <t xml:space="preserve">Manutenção de </t>
    </r>
    <r>
      <rPr>
        <b/>
        <sz val="20"/>
        <rFont val="Calibri"/>
        <family val="2"/>
        <scheme val="minor"/>
      </rPr>
      <t>100% das despesas mensais com a compra de passagem aérea, serviço de postagens institucionais, serviços de transporte urbanos (Táxi) e remuneração de estagiários</t>
    </r>
    <r>
      <rPr>
        <sz val="20"/>
        <rFont val="Calibri"/>
        <family val="2"/>
        <scheme val="minor"/>
      </rPr>
      <t xml:space="preserve"> para o cumprimento das atribuições da gerência jurídica, tais como: atuar em ajuizamento e defesa em ações do CAU/MG na Justiça; Cumprir expedientes de rotina atribuída à Gerência pelos atos normativos do CAU/MG, emitir pareceres jurídicos etc.</t>
    </r>
  </si>
  <si>
    <r>
      <t xml:space="preserve">Manutenção de </t>
    </r>
    <r>
      <rPr>
        <b/>
        <sz val="20"/>
        <rFont val="Calibri"/>
        <family val="2"/>
        <scheme val="minor"/>
      </rPr>
      <t xml:space="preserve">100% das despesas mensais com custas judiciais </t>
    </r>
    <r>
      <rPr>
        <sz val="20"/>
        <rFont val="Calibri"/>
        <family val="2"/>
        <scheme val="minor"/>
      </rPr>
      <t>para o cumprimento das atribuições da gerência jurídica, tais como: atuar em ajuizamento e defesa em ações do CAU/MG na Justiça; Cumprir expedientes de rotina atribuída à Gerência pelos atos normativos do CAU/MG, emitir pareceres jurídicos etc.</t>
    </r>
  </si>
  <si>
    <t>Contratação de software para controle de ações judiciais</t>
  </si>
  <si>
    <t xml:space="preserve">Capacitação dos empregados na LGPD </t>
  </si>
  <si>
    <t>Capacitação dos empregados na Nova Lei de Licitações</t>
  </si>
  <si>
    <t>Manter e Desenvolver as Atividades de Coordenação Técnica da Gerência Técnica  de Fiscalização</t>
  </si>
  <si>
    <r>
      <t xml:space="preserve">Manutenção de </t>
    </r>
    <r>
      <rPr>
        <b/>
        <sz val="20"/>
        <color theme="1"/>
        <rFont val="Calibri"/>
        <family val="2"/>
        <scheme val="minor"/>
      </rPr>
      <t>100% das despesas mensais com salários e benefícios</t>
    </r>
    <r>
      <rPr>
        <sz val="20"/>
        <color theme="1"/>
        <rFont val="Calibri"/>
        <family val="2"/>
        <scheme val="minor"/>
      </rPr>
      <t xml:space="preserve"> de colaboradores para o cumprimento das atribuições da Coordenação Técnica.</t>
    </r>
  </si>
  <si>
    <r>
      <t xml:space="preserve">Manutenção de </t>
    </r>
    <r>
      <rPr>
        <b/>
        <sz val="20"/>
        <color theme="1"/>
        <rFont val="Calibri"/>
        <family val="2"/>
        <scheme val="minor"/>
      </rPr>
      <t>100% das despesas mensais relacionadas aos deslocamentos de colaboradores a serviço do CAU/MG, tais como diária e adicional de embarque e desembarque,</t>
    </r>
    <r>
      <rPr>
        <sz val="20"/>
        <color theme="1"/>
        <rFont val="Calibri"/>
        <family val="2"/>
        <scheme val="minor"/>
      </rPr>
      <t xml:space="preserve"> para o cumprimento das atribuições da Coordenação Técnica.</t>
    </r>
  </si>
  <si>
    <r>
      <t xml:space="preserve">Manutenção de </t>
    </r>
    <r>
      <rPr>
        <b/>
        <sz val="20"/>
        <color theme="1"/>
        <rFont val="Calibri"/>
        <family val="2"/>
        <scheme val="minor"/>
      </rPr>
      <t xml:space="preserve">100% das despesas mensais com serviços de postagens institucionais (Correios), hospedagens de colaboradores, remuneração de estagiários e despesas de transportes urbanos (táxi) </t>
    </r>
    <r>
      <rPr>
        <sz val="20"/>
        <color theme="1"/>
        <rFont val="Calibri"/>
        <family val="2"/>
        <scheme val="minor"/>
      </rPr>
      <t>para o cumprimento das atribuições da Coordenação Técnica.</t>
    </r>
  </si>
  <si>
    <r>
      <t xml:space="preserve">Elaborar proposta de </t>
    </r>
    <r>
      <rPr>
        <b/>
        <sz val="20"/>
        <color theme="1"/>
        <rFont val="Calibri"/>
        <family val="2"/>
        <scheme val="minor"/>
      </rPr>
      <t>uma cartilha</t>
    </r>
    <r>
      <rPr>
        <sz val="20"/>
        <color theme="1"/>
        <rFont val="Calibri"/>
        <family val="2"/>
        <scheme val="minor"/>
      </rPr>
      <t xml:space="preserve"> institucional abordando o Registro de Responsabilidade Técnica (RRT), conforme a Resolução CAU/BR nº 91/2014), com distribuição estimada de 2.000 (dois mil) exemplares. </t>
    </r>
  </si>
  <si>
    <r>
      <t xml:space="preserve">Elaborar proposta e realizar o calendário semestral de </t>
    </r>
    <r>
      <rPr>
        <b/>
        <sz val="20"/>
        <color theme="1"/>
        <rFont val="Calibri"/>
        <family val="2"/>
        <scheme val="minor"/>
      </rPr>
      <t>três oficinas de Tabela de Honorário</t>
    </r>
    <r>
      <rPr>
        <sz val="20"/>
        <color theme="1"/>
        <rFont val="Calibri"/>
        <family val="2"/>
        <scheme val="minor"/>
      </rPr>
      <t xml:space="preserve"> e outras </t>
    </r>
    <r>
      <rPr>
        <b/>
        <sz val="20"/>
        <color theme="1"/>
        <rFont val="Calibri"/>
        <family val="2"/>
        <scheme val="minor"/>
      </rPr>
      <t>três oficinas relativas ao Siccau</t>
    </r>
    <r>
      <rPr>
        <sz val="20"/>
        <color theme="1"/>
        <rFont val="Calibri"/>
        <family val="2"/>
        <scheme val="minor"/>
      </rPr>
      <t xml:space="preserve"> para a capacitação de pelo menos 90% do total de profissionais inscritos. </t>
    </r>
  </si>
  <si>
    <r>
      <t xml:space="preserve">Manutenção de </t>
    </r>
    <r>
      <rPr>
        <b/>
        <sz val="20"/>
        <color theme="1"/>
        <rFont val="Calibri"/>
        <family val="2"/>
        <scheme val="minor"/>
      </rPr>
      <t>100% das despesas mensais com serviços da Unidade de Resposta  Audível (URA)</t>
    </r>
  </si>
  <si>
    <t>Manter e Desenvolver as Atividades de Coordenação da Fiscalização da Gerência Técnica  de Fiscalização</t>
  </si>
  <si>
    <r>
      <t xml:space="preserve">Manutenção de </t>
    </r>
    <r>
      <rPr>
        <b/>
        <sz val="20"/>
        <color theme="1"/>
        <rFont val="Calibri"/>
        <family val="2"/>
        <scheme val="minor"/>
      </rPr>
      <t xml:space="preserve">100% das despesas mensais com salários e benefícios </t>
    </r>
    <r>
      <rPr>
        <sz val="20"/>
        <color theme="1"/>
        <rFont val="Calibri"/>
        <family val="2"/>
        <scheme val="minor"/>
      </rPr>
      <t>de colaboradores para o cumprimento das atribuições da Coordenação de Fiscalização da Sede e dos Escritórios Descentralizados.</t>
    </r>
  </si>
  <si>
    <r>
      <t xml:space="preserve">Manutenção de </t>
    </r>
    <r>
      <rPr>
        <b/>
        <sz val="20"/>
        <color theme="1"/>
        <rFont val="Calibri"/>
        <family val="2"/>
        <scheme val="minor"/>
      </rPr>
      <t>100% das despesas mensais relacionadas aos deslocamentos de colaboradores a serviço do CAU/MG</t>
    </r>
    <r>
      <rPr>
        <sz val="20"/>
        <color theme="1"/>
        <rFont val="Calibri"/>
        <family val="2"/>
        <scheme val="minor"/>
      </rPr>
      <t>, tais como diária e adicional de embarque e desembarque, para o cumprimento das atribuições da Coordenação de Fiscalização da Sede e dos Escritórios Descentralizados.</t>
    </r>
  </si>
  <si>
    <r>
      <t xml:space="preserve">Manutenção de </t>
    </r>
    <r>
      <rPr>
        <b/>
        <sz val="20"/>
        <color theme="1"/>
        <rFont val="Calibri"/>
        <family val="2"/>
        <scheme val="minor"/>
      </rPr>
      <t>100% das despesas mensais com serviços de postagens institucionais (Correios), hospedagens de colaboradores, serviço de fornecimento de Bases de Dados e/ou Mailing, remuneração de estagiários e despesas de transportes urbanos</t>
    </r>
    <r>
      <rPr>
        <sz val="20"/>
        <color theme="1"/>
        <rFont val="Calibri"/>
        <family val="2"/>
        <scheme val="minor"/>
      </rPr>
      <t xml:space="preserve"> </t>
    </r>
    <r>
      <rPr>
        <b/>
        <sz val="20"/>
        <color theme="1"/>
        <rFont val="Calibri"/>
        <family val="2"/>
        <scheme val="minor"/>
      </rPr>
      <t xml:space="preserve">(táxi) </t>
    </r>
    <r>
      <rPr>
        <sz val="20"/>
        <color theme="1"/>
        <rFont val="Calibri"/>
        <family val="2"/>
        <scheme val="minor"/>
      </rPr>
      <t>para o cumprimento das atribuições da Coordenação de Fiscalização da Sede e dos Escritórios Descentralizados.</t>
    </r>
  </si>
  <si>
    <r>
      <t xml:space="preserve">Manutenção de </t>
    </r>
    <r>
      <rPr>
        <b/>
        <sz val="20"/>
        <color theme="1"/>
        <rFont val="Calibri"/>
        <family val="2"/>
        <scheme val="minor"/>
      </rPr>
      <t xml:space="preserve">100% das despesas com aquisição de Materiais de Segurança / EPI / Materiais </t>
    </r>
    <r>
      <rPr>
        <sz val="20"/>
        <color theme="1"/>
        <rFont val="Calibri"/>
        <family val="2"/>
        <scheme val="minor"/>
      </rPr>
      <t>para o cumprimento das atribuições da Coordenação de Fiscalização da Sede e dos Escritórios Descentralizados.</t>
    </r>
  </si>
  <si>
    <r>
      <t xml:space="preserve">Ações Institucionais - Frentes de Fiscalização: realizar fiscalização em </t>
    </r>
    <r>
      <rPr>
        <b/>
        <sz val="20"/>
        <color theme="1"/>
        <rFont val="Calibri"/>
        <family val="2"/>
        <scheme val="minor"/>
      </rPr>
      <t>9 (nove) cidades</t>
    </r>
    <r>
      <rPr>
        <sz val="20"/>
        <color theme="1"/>
        <rFont val="Calibri"/>
        <family val="2"/>
        <scheme val="minor"/>
      </rPr>
      <t xml:space="preserve"> q</t>
    </r>
    <r>
      <rPr>
        <b/>
        <sz val="20"/>
        <color theme="1"/>
        <rFont val="Calibri"/>
        <family val="2"/>
        <scheme val="minor"/>
      </rPr>
      <t>ue constituem conjunto urbano tombado</t>
    </r>
    <r>
      <rPr>
        <sz val="20"/>
        <color theme="1"/>
        <rFont val="Calibri"/>
        <family val="2"/>
        <scheme val="minor"/>
      </rPr>
      <t xml:space="preserve">, para identificar a participação mínima de </t>
    </r>
    <r>
      <rPr>
        <b/>
        <sz val="20"/>
        <color theme="1"/>
        <rFont val="Calibri"/>
        <family val="2"/>
        <scheme val="minor"/>
      </rPr>
      <t>80% dos profissionais de Arquitetura e Urbanismo</t>
    </r>
    <r>
      <rPr>
        <sz val="20"/>
        <color theme="1"/>
        <rFont val="Calibri"/>
        <family val="2"/>
        <scheme val="minor"/>
      </rPr>
      <t>.</t>
    </r>
  </si>
  <si>
    <r>
      <t xml:space="preserve">Ações Institucionais - Frentes de Fiscalização: realizar fiscalização em </t>
    </r>
    <r>
      <rPr>
        <b/>
        <sz val="20"/>
        <color theme="1"/>
        <rFont val="Calibri"/>
        <family val="2"/>
        <scheme val="minor"/>
      </rPr>
      <t xml:space="preserve">seis Feiras e Exposições </t>
    </r>
    <r>
      <rPr>
        <sz val="20"/>
        <color theme="1"/>
        <rFont val="Calibri"/>
        <family val="2"/>
        <scheme val="minor"/>
      </rPr>
      <t xml:space="preserve">(conforme demanda), para identificar a participação mínima de </t>
    </r>
    <r>
      <rPr>
        <b/>
        <sz val="20"/>
        <color theme="1"/>
        <rFont val="Calibri"/>
        <family val="2"/>
        <scheme val="minor"/>
      </rPr>
      <t>80% dos profissionais</t>
    </r>
    <r>
      <rPr>
        <sz val="20"/>
        <color theme="1"/>
        <rFont val="Calibri"/>
        <family val="2"/>
        <scheme val="minor"/>
      </rPr>
      <t xml:space="preserve"> de Arquitetura e Urbanismo.</t>
    </r>
  </si>
  <si>
    <r>
      <t xml:space="preserve">Ações Institucionais - Frentes de Fiscalização: realizar ação educativa/preventiva mediante distribuição do informativo "Reforma Legal" em </t>
    </r>
    <r>
      <rPr>
        <b/>
        <sz val="20"/>
        <color theme="1"/>
        <rFont val="Calibri"/>
        <family val="2"/>
        <scheme val="minor"/>
      </rPr>
      <t>1.000 (mil) condomínios verticais e horizontais</t>
    </r>
    <r>
      <rPr>
        <sz val="20"/>
        <color theme="1"/>
        <rFont val="Calibri"/>
        <family val="2"/>
        <scheme val="minor"/>
      </rPr>
      <t>.</t>
    </r>
  </si>
  <si>
    <r>
      <t xml:space="preserve">Ações Institucionais - Frentes de Fiscalização: realizar ação de fiscalização da participação e regularização de </t>
    </r>
    <r>
      <rPr>
        <b/>
        <sz val="20"/>
        <color theme="1"/>
        <rFont val="Calibri"/>
        <family val="2"/>
        <scheme val="minor"/>
      </rPr>
      <t>pelo menos 60% de profissionais de Arquitetura e Urbanismo em processos de Licenciamento e Aprovação de obras</t>
    </r>
    <r>
      <rPr>
        <sz val="20"/>
        <color theme="1"/>
        <rFont val="Calibri"/>
        <family val="2"/>
        <scheme val="minor"/>
      </rPr>
      <t xml:space="preserve">, do total de </t>
    </r>
    <r>
      <rPr>
        <b/>
        <sz val="20"/>
        <color theme="1"/>
        <rFont val="Calibri"/>
        <family val="2"/>
        <scheme val="minor"/>
      </rPr>
      <t xml:space="preserve">100% dos profissionais citados nas listas de licenciamento e aprovação de obras </t>
    </r>
    <r>
      <rPr>
        <sz val="20"/>
        <color theme="1"/>
        <rFont val="Calibri"/>
        <family val="2"/>
        <scheme val="minor"/>
      </rPr>
      <t>adquiridas junto às Prefeituras.</t>
    </r>
  </si>
  <si>
    <r>
      <t xml:space="preserve">Ações Institucionais - Frentes de Fiscalização: realizar ação de fiscalização do objeto social para a regularização de pelo menos </t>
    </r>
    <r>
      <rPr>
        <b/>
        <sz val="20"/>
        <color theme="1"/>
        <rFont val="Calibri"/>
        <family val="2"/>
        <scheme val="minor"/>
      </rPr>
      <t>25% das pessoas jurídicas</t>
    </r>
    <r>
      <rPr>
        <sz val="20"/>
        <color theme="1"/>
        <rFont val="Calibri"/>
        <family val="2"/>
        <scheme val="minor"/>
      </rPr>
      <t xml:space="preserve"> de Arquitetura e Urbanismo com obrigatoriedade de registro no CAU</t>
    </r>
    <r>
      <rPr>
        <b/>
        <sz val="20"/>
        <color theme="1"/>
        <rFont val="Calibri"/>
        <family val="2"/>
        <scheme val="minor"/>
      </rPr>
      <t>, do total de 100% das pessoas jurídicas listadas</t>
    </r>
    <r>
      <rPr>
        <sz val="20"/>
        <color theme="1"/>
        <rFont val="Calibri"/>
        <family val="2"/>
        <scheme val="minor"/>
      </rPr>
      <t xml:space="preserve"> conforme informações adquiridas junto à Junta Comercial do Estado de Minas Gerais (JUCEMG).</t>
    </r>
  </si>
  <si>
    <r>
      <t xml:space="preserve">Ações Institucionais - Frentes de Fiscalização: realizar ação de fiscalização de Listas de Editais serviços de Arquitetura e Urbanismo (através de aquisição de clipping), garantindo </t>
    </r>
    <r>
      <rPr>
        <b/>
        <sz val="20"/>
        <color theme="1"/>
        <rFont val="Calibri"/>
        <family val="2"/>
        <scheme val="minor"/>
      </rPr>
      <t xml:space="preserve">a participação de pelo menos 65% de profissionais e de pessoas jurídicas de Arquitetura e Urbanismo em processos licitatórios </t>
    </r>
    <r>
      <rPr>
        <sz val="20"/>
        <color theme="1"/>
        <rFont val="Calibri"/>
        <family val="2"/>
        <scheme val="minor"/>
      </rPr>
      <t xml:space="preserve">e envio de contribuições de </t>
    </r>
    <r>
      <rPr>
        <b/>
        <sz val="20"/>
        <color theme="1"/>
        <rFont val="Calibri"/>
        <family val="2"/>
        <scheme val="minor"/>
      </rPr>
      <t>retificações de pelo menos 80% editais de serviços de Arquitetura e Urbanismo</t>
    </r>
    <r>
      <rPr>
        <sz val="20"/>
        <color theme="1"/>
        <rFont val="Calibri"/>
        <family val="2"/>
        <scheme val="minor"/>
      </rPr>
      <t>.</t>
    </r>
  </si>
  <si>
    <r>
      <t xml:space="preserve">Ações Institucionais - Frentes de Fiscalização: realizar ação de fiscalização educativa/preventiva junto aos profissionais de Arquitetura e Urbanismo sem RRT de Cargo e Função que compõem equipes técnicas de órgãos públicos, para a </t>
    </r>
    <r>
      <rPr>
        <b/>
        <sz val="20"/>
        <color theme="1"/>
        <rFont val="Calibri"/>
        <family val="2"/>
        <scheme val="minor"/>
      </rPr>
      <t>regularização de pelo menos 50% da atuação destes profissionais</t>
    </r>
    <r>
      <rPr>
        <sz val="20"/>
        <color theme="1"/>
        <rFont val="Calibri"/>
        <family val="2"/>
        <scheme val="minor"/>
      </rPr>
      <t>.</t>
    </r>
  </si>
  <si>
    <r>
      <t xml:space="preserve">Ações Institucionais - Frentes de Fiscalização: realizar ação de fiscalização educativa/preventiva junto aos profissionais de Arquitetura e Urbanismo sem RRT de Cargo e Função que atuam como docentes em cursos de Arquitetura e Urbanismo, para a </t>
    </r>
    <r>
      <rPr>
        <b/>
        <sz val="20"/>
        <color theme="1"/>
        <rFont val="Calibri"/>
        <family val="2"/>
        <scheme val="minor"/>
      </rPr>
      <t>regularização de pelo menos 50% da atuação destes profissionais</t>
    </r>
    <r>
      <rPr>
        <sz val="20"/>
        <color theme="1"/>
        <rFont val="Calibri"/>
        <family val="2"/>
        <scheme val="minor"/>
      </rPr>
      <t>.</t>
    </r>
  </si>
  <si>
    <r>
      <t xml:space="preserve">Capacitação - Treinamento e reuniões: elaborar proposta e realizar calendário semestral de </t>
    </r>
    <r>
      <rPr>
        <b/>
        <sz val="20"/>
        <color theme="1"/>
        <rFont val="Calibri"/>
        <family val="2"/>
        <scheme val="minor"/>
      </rPr>
      <t xml:space="preserve">quatro reuniões de fiscalização </t>
    </r>
    <r>
      <rPr>
        <sz val="20"/>
        <color theme="1"/>
        <rFont val="Calibri"/>
        <family val="2"/>
        <scheme val="minor"/>
      </rPr>
      <t xml:space="preserve">para o alinhamento das ações entre as agentes de fiscalização, de modo a atingir uma </t>
    </r>
    <r>
      <rPr>
        <b/>
        <sz val="20"/>
        <color theme="1"/>
        <rFont val="Calibri"/>
        <family val="2"/>
        <scheme val="minor"/>
      </rPr>
      <t>média de 2 horas de capacitação</t>
    </r>
    <r>
      <rPr>
        <sz val="20"/>
        <color theme="1"/>
        <rFont val="Calibri"/>
        <family val="2"/>
        <scheme val="minor"/>
      </rPr>
      <t xml:space="preserve"> por agente de fiscalização.</t>
    </r>
  </si>
  <si>
    <r>
      <t xml:space="preserve">Ações Institucionais - Frentes de Fiscalização: realizar por meio do Projeto Rotas </t>
    </r>
    <r>
      <rPr>
        <b/>
        <sz val="20"/>
        <color theme="1"/>
        <rFont val="Calibri"/>
        <family val="2"/>
        <scheme val="minor"/>
      </rPr>
      <t>1.500 (mil e quinhentas) ações de fiscalização</t>
    </r>
    <r>
      <rPr>
        <sz val="20"/>
        <color theme="1"/>
        <rFont val="Calibri"/>
        <family val="2"/>
        <scheme val="minor"/>
      </rPr>
      <t xml:space="preserve"> de atividades de projeto, execução construções, de obras de reformas e interiores em diversas cidades mineiras. </t>
    </r>
    <r>
      <rPr>
        <b/>
        <sz val="20"/>
        <color theme="1"/>
        <rFont val="Calibri"/>
        <family val="2"/>
        <scheme val="minor"/>
      </rPr>
      <t>Despesas com diárias das agentes de fiscalização do Projeto Rotas.</t>
    </r>
  </si>
  <si>
    <r>
      <t xml:space="preserve">Ações Institucionais - Frentes de Fiscalização: realizar por meio do Projeto Rotas </t>
    </r>
    <r>
      <rPr>
        <b/>
        <sz val="20"/>
        <color theme="1"/>
        <rFont val="Calibri"/>
        <family val="2"/>
        <scheme val="minor"/>
      </rPr>
      <t>1.500 (mil e quinhentas) ações de fiscalização</t>
    </r>
    <r>
      <rPr>
        <sz val="20"/>
        <color theme="1"/>
        <rFont val="Calibri"/>
        <family val="2"/>
        <scheme val="minor"/>
      </rPr>
      <t xml:space="preserve"> de atividades de projeto, execução construções, de obras de reformas e interiores em diversas cidades mineiras. </t>
    </r>
    <r>
      <rPr>
        <b/>
        <sz val="20"/>
        <color theme="1"/>
        <rFont val="Calibri"/>
        <family val="2"/>
        <scheme val="minor"/>
      </rPr>
      <t>Despesas com combustíveis e Lubrificantes.</t>
    </r>
  </si>
  <si>
    <r>
      <t xml:space="preserve">Ações Institucionais - Frentes de Fiscalização: realizar por meio do Projeto Rotas </t>
    </r>
    <r>
      <rPr>
        <b/>
        <sz val="20"/>
        <color theme="1"/>
        <rFont val="Calibri"/>
        <family val="2"/>
        <scheme val="minor"/>
      </rPr>
      <t>1.500 (mil e quinhentas) ações de fiscalização</t>
    </r>
    <r>
      <rPr>
        <sz val="20"/>
        <color theme="1"/>
        <rFont val="Calibri"/>
        <family val="2"/>
        <scheme val="minor"/>
      </rPr>
      <t xml:space="preserve"> de atividades de projeto, execução construções, de obras de reformas e interiores em diversas cidades mineiras. </t>
    </r>
    <r>
      <rPr>
        <b/>
        <sz val="20"/>
        <color theme="1"/>
        <rFont val="Calibri"/>
        <family val="2"/>
        <scheme val="minor"/>
      </rPr>
      <t>Despesas com hospedagem de colaboradores eventuais (Motorista contratado para o Projeto Rotas).</t>
    </r>
  </si>
  <si>
    <r>
      <t xml:space="preserve">Ações Institucionais - Frentes de Fiscalização: realizar por meio do Projeto Rotas verificação de </t>
    </r>
    <r>
      <rPr>
        <b/>
        <sz val="20"/>
        <color theme="1"/>
        <rFont val="Calibri"/>
        <family val="2"/>
        <scheme val="minor"/>
      </rPr>
      <t>90% do total de denúncias recebidas</t>
    </r>
    <r>
      <rPr>
        <sz val="20"/>
        <color theme="1"/>
        <rFont val="Calibri"/>
        <family val="2"/>
        <scheme val="minor"/>
      </rPr>
      <t>.</t>
    </r>
  </si>
  <si>
    <t>Manter e Desenvolver as Atividades da Presidência e dos Conselheiros Federais</t>
  </si>
  <si>
    <r>
      <t xml:space="preserve">Realizar </t>
    </r>
    <r>
      <rPr>
        <b/>
        <sz val="20"/>
        <color theme="1"/>
        <rFont val="Calibri"/>
        <family val="2"/>
        <scheme val="minor"/>
      </rPr>
      <t>30 participações do Presidente, Vice- Presidente e Conselheiro Federal em reuniões dos órgãos colegiados do CAU/MG e fóruns</t>
    </r>
    <r>
      <rPr>
        <sz val="20"/>
        <color theme="1"/>
        <rFont val="Calibri"/>
        <family val="2"/>
        <scheme val="minor"/>
      </rPr>
      <t>, mensalmente ou quinzenalmente, a depender da demanda e justificabilidade.</t>
    </r>
  </si>
  <si>
    <r>
      <t xml:space="preserve">Eventos: </t>
    </r>
    <r>
      <rPr>
        <b/>
        <sz val="20"/>
        <color theme="1"/>
        <rFont val="Calibri"/>
        <family val="2"/>
        <scheme val="minor"/>
      </rPr>
      <t>realizar e participar dos seis encontros denominados "CAU e a Cidade"</t>
    </r>
    <r>
      <rPr>
        <sz val="20"/>
        <color theme="1"/>
        <rFont val="Calibri"/>
        <family val="2"/>
        <scheme val="minor"/>
      </rPr>
      <t>, programados a partir de calendário elaborado pela Geplan-CAU/MG para acontecer em meses alternados, nas cinco cidades-sede de Escritório Descentralizados do CAU/MG: Juiz de Fora, Ipatinga-ARMVA (fevereiro), Uberlândia (março), Montes Claros (agosto) e Poços de Caldas (julho) e na cidade-sede do CAU/MG, Belo Horizonte-ARMBH (abril), para promover a aproximação institucional com as agências metropolitanas, prefeituras e profissionais das regionais do CAU/MG, a partir dos seguintes temas: 1 - Institucional do CAU/MG, enfatizando o seu papel perante a sociedade (PRES); 2 - Painel sobre o exercício profissional e a importância do RRT e da fiscalização (CEP); 3 - Painel sobre Planejamento Urbano e Regional (CPUA), e outro definido por consulta pública realizada para cada região (Ascom).</t>
    </r>
  </si>
  <si>
    <t>Manter e Desenvolver as Atividades de Comissões Temporárias</t>
  </si>
  <si>
    <r>
      <t xml:space="preserve">Instituir e realizar o calendário de </t>
    </r>
    <r>
      <rPr>
        <b/>
        <sz val="20"/>
        <color theme="1"/>
        <rFont val="Calibri"/>
        <family val="2"/>
        <scheme val="minor"/>
      </rPr>
      <t>sete reuniões de Comissões Temporárias</t>
    </r>
    <r>
      <rPr>
        <sz val="20"/>
        <color theme="1"/>
        <rFont val="Calibri"/>
        <family val="2"/>
        <scheme val="minor"/>
      </rPr>
      <t xml:space="preserve"> para que cumpram a finalidade regimental de atender demandas específicas de caráter temporário, tais como temas específicos da profissão, sindicâncias, desagravo público, auditorias, inquéritos, tomada de contas especial e processos administrativos, dentre outros.</t>
    </r>
  </si>
  <si>
    <t>Representação Institucional do CAU/MG II</t>
  </si>
  <si>
    <r>
      <t xml:space="preserve">Realizar </t>
    </r>
    <r>
      <rPr>
        <b/>
        <sz val="20"/>
        <color theme="1"/>
        <rFont val="Calibri"/>
        <family val="2"/>
        <scheme val="minor"/>
      </rPr>
      <t>30 (trinta) reuniões de relacionamento com Prefeituras e Câmaras Municipais</t>
    </r>
    <r>
      <rPr>
        <sz val="20"/>
        <color theme="1"/>
        <rFont val="Calibri"/>
        <family val="2"/>
        <scheme val="minor"/>
      </rPr>
      <t xml:space="preserve"> de Minas Gerais, para desenvolver representação do CAU/MG junto aos órgãos de planejamento urbano para discutir sobre a política urbana municipal e matérias afins.</t>
    </r>
  </si>
  <si>
    <r>
      <t xml:space="preserve">Contatar remotamente 20 (vinte) cidades de maior população em Minas Gerais, além de outros órgãos como Receita Federal e Junta Comercial do Estado de Minas Gerais (JUCEMG), para parceria e troca de informações que ampliem o alcance da  Fiscalização e estabelecer </t>
    </r>
    <r>
      <rPr>
        <b/>
        <sz val="20"/>
        <color theme="1"/>
        <rFont val="Calibri"/>
        <family val="2"/>
        <scheme val="minor"/>
      </rPr>
      <t>10 (dez) parcerias com órgãos públicos de apoio à fiscalização em municípios mineiros.</t>
    </r>
  </si>
  <si>
    <r>
      <t xml:space="preserve">Realizar </t>
    </r>
    <r>
      <rPr>
        <b/>
        <sz val="20"/>
        <color theme="1"/>
        <rFont val="Calibri"/>
        <family val="2"/>
        <scheme val="minor"/>
      </rPr>
      <t>30 (trinta) reuniões com órgãos públicos e demais instituições com a participação do Presidente ou de dirigente ou colador designado por ele</t>
    </r>
    <r>
      <rPr>
        <sz val="20"/>
        <color theme="1"/>
        <rFont val="Calibri"/>
        <family val="2"/>
        <scheme val="minor"/>
      </rPr>
      <t xml:space="preserve"> representando o Conselho.</t>
    </r>
  </si>
  <si>
    <r>
      <t xml:space="preserve">Realizar </t>
    </r>
    <r>
      <rPr>
        <b/>
        <sz val="20"/>
        <color theme="1"/>
        <rFont val="Calibri"/>
        <family val="2"/>
        <scheme val="minor"/>
      </rPr>
      <t xml:space="preserve">cinco reuniões com o Conselho Regional de Corretores de Imóveis (Cresci), Sindicato da Indústria da Construção Civil no Estado de Minas Gerais (Sinduscon/MG) e outra instituição afim </t>
    </r>
    <r>
      <rPr>
        <sz val="20"/>
        <color theme="1"/>
        <rFont val="Calibri"/>
        <family val="2"/>
        <scheme val="minor"/>
      </rPr>
      <t>para fazer aplicar a Resolução CAU/BR nº 75/2014 (Informar sobre Projeto de Lei n° 85/2015).</t>
    </r>
  </si>
  <si>
    <t>Representação Institucional do CAU/MG I</t>
  </si>
  <si>
    <r>
      <t>Realizar</t>
    </r>
    <r>
      <rPr>
        <b/>
        <sz val="20"/>
        <color theme="1"/>
        <rFont val="Calibri"/>
        <family val="2"/>
        <scheme val="minor"/>
      </rPr>
      <t xml:space="preserve"> 50 (cinquenta) reuniões de relacionamento com Prefeituras Municipais de Minas Gerais</t>
    </r>
    <r>
      <rPr>
        <sz val="20"/>
        <color theme="1"/>
        <rFont val="Calibri"/>
        <family val="2"/>
        <scheme val="minor"/>
      </rPr>
      <t>, sendo 38 (trinta e oito) municípios metropolitanos, quatro municípios sede de escritórios descentralizados e oito outras cidades históricas.</t>
    </r>
  </si>
  <si>
    <r>
      <t xml:space="preserve">Projeto CAU nas Escolas - Realizar </t>
    </r>
    <r>
      <rPr>
        <b/>
        <sz val="20"/>
        <color theme="1"/>
        <rFont val="Calibri"/>
        <family val="2"/>
        <scheme val="minor"/>
      </rPr>
      <t xml:space="preserve">60 (sessenta) visitas nos cursos de Arquitetura e Urbanismo </t>
    </r>
    <r>
      <rPr>
        <sz val="20"/>
        <color theme="1"/>
        <rFont val="Calibri"/>
        <family val="2"/>
        <scheme val="minor"/>
      </rPr>
      <t>para promover e estimular as relações interinstitucionais do Conselho com os cursos de AU e levar informações aos estudantes e professores de todas as IES do Estado com palestras institucionais e debates.</t>
    </r>
  </si>
  <si>
    <r>
      <t xml:space="preserve">Realizar </t>
    </r>
    <r>
      <rPr>
        <b/>
        <sz val="20"/>
        <color theme="1"/>
        <rFont val="Calibri"/>
        <family val="2"/>
        <scheme val="minor"/>
      </rPr>
      <t>um evento técnico</t>
    </r>
    <r>
      <rPr>
        <sz val="20"/>
        <color theme="1"/>
        <rFont val="Calibri"/>
        <family val="2"/>
        <scheme val="minor"/>
      </rPr>
      <t xml:space="preserve"> </t>
    </r>
    <r>
      <rPr>
        <b/>
        <sz val="20"/>
        <color theme="1"/>
        <rFont val="Calibri"/>
        <family val="2"/>
        <scheme val="minor"/>
      </rPr>
      <t xml:space="preserve">em comemoração do Dia do Arquiteto e Urbanista, </t>
    </r>
    <r>
      <rPr>
        <sz val="20"/>
        <color theme="1"/>
        <rFont val="Calibri"/>
        <family val="2"/>
        <scheme val="minor"/>
      </rPr>
      <t>comemorado oficialmente no dia 15 de dezembro, conforme calendário oficial brasileiro.</t>
    </r>
  </si>
  <si>
    <r>
      <t xml:space="preserve">Realizar </t>
    </r>
    <r>
      <rPr>
        <b/>
        <sz val="20"/>
        <color theme="1"/>
        <rFont val="Calibri"/>
        <family val="2"/>
        <scheme val="minor"/>
      </rPr>
      <t>um evento técnico sobre a Arquitetura e Urbanismo brasileira</t>
    </r>
    <r>
      <rPr>
        <sz val="20"/>
        <color theme="1"/>
        <rFont val="Calibri"/>
        <family val="2"/>
        <scheme val="minor"/>
      </rPr>
      <t>, trazendo um relato de cada região do Brasil, mostrando um panorama do que vem sendo produzido e expondo as culturas locais de forma a produzir um painel de integração e de troca de experiências em âmbito nacional. No Brasil, o 1° de julho se comemora o dia Mundial da Arquitetura, por razão da data de fundação da União Internacional de Arquitetos (UIA), em 1949.</t>
    </r>
  </si>
  <si>
    <t>Capacitações</t>
  </si>
  <si>
    <r>
      <rPr>
        <b/>
        <sz val="20"/>
        <color theme="1"/>
        <rFont val="Calibri"/>
        <family val="2"/>
        <scheme val="minor"/>
      </rPr>
      <t>15 (quinze) participações de dirigentes em eventos, reuniões técnicas, treinamentos promovidos pelo CAU/BR</t>
    </r>
    <r>
      <rPr>
        <sz val="20"/>
        <color theme="1"/>
        <rFont val="Calibri"/>
        <family val="2"/>
        <scheme val="minor"/>
      </rPr>
      <t>, conforme disponibilidade financeira e público alvo do evento.</t>
    </r>
  </si>
  <si>
    <r>
      <rPr>
        <b/>
        <sz val="20"/>
        <color theme="1"/>
        <rFont val="Calibri"/>
        <family val="2"/>
        <scheme val="minor"/>
      </rPr>
      <t>15 (quinze) participações de colaboradores em eventos, reuniões técnicas, treinamentos promovidos pelo CAU/BR</t>
    </r>
    <r>
      <rPr>
        <sz val="20"/>
        <color theme="1"/>
        <rFont val="Calibri"/>
        <family val="2"/>
        <scheme val="minor"/>
      </rPr>
      <t>, conforme disponibilidade financeira e público alvo do evento.</t>
    </r>
  </si>
  <si>
    <r>
      <t xml:space="preserve">Realizar </t>
    </r>
    <r>
      <rPr>
        <b/>
        <sz val="20"/>
        <color theme="1"/>
        <rFont val="Calibri"/>
        <family val="2"/>
        <scheme val="minor"/>
      </rPr>
      <t>25 (vinte e cinco) capacitações internas ministradas pelos próprios colaboradores</t>
    </r>
    <r>
      <rPr>
        <sz val="20"/>
        <color theme="1"/>
        <rFont val="Calibri"/>
        <family val="2"/>
        <scheme val="minor"/>
      </rPr>
      <t xml:space="preserve"> para atender demandas identificadas no exercício de suas atividades.</t>
    </r>
  </si>
  <si>
    <r>
      <t xml:space="preserve">Contratar empresas para a </t>
    </r>
    <r>
      <rPr>
        <b/>
        <sz val="20"/>
        <color theme="1"/>
        <rFont val="Calibri"/>
        <family val="2"/>
        <scheme val="minor"/>
      </rPr>
      <t>realização de 30 (trinta) cursos especializados</t>
    </r>
    <r>
      <rPr>
        <sz val="20"/>
        <color theme="1"/>
        <rFont val="Calibri"/>
        <family val="2"/>
        <scheme val="minor"/>
      </rPr>
      <t>, conforme Plano de Capacitação a ser desenvolvido e aprovado pelo Plenário.</t>
    </r>
  </si>
  <si>
    <t>Edital de Patrocínio modalidade Patrimônio Cultural</t>
  </si>
  <si>
    <r>
      <t xml:space="preserve">Ações Institucionais - Fomento e Inovação: lançar </t>
    </r>
    <r>
      <rPr>
        <b/>
        <sz val="20"/>
        <color theme="1"/>
        <rFont val="Calibri"/>
        <family val="2"/>
        <scheme val="minor"/>
      </rPr>
      <t>um Edital de Chamada Pública de Patrocínio</t>
    </r>
    <r>
      <rPr>
        <sz val="20"/>
        <color theme="1"/>
        <rFont val="Calibri"/>
        <family val="2"/>
        <scheme val="minor"/>
      </rPr>
      <t xml:space="preserve"> na modalidade Patrimônio Cultural, a partir de diretrizes elaboradas pela Comissão de Patrimonial Cultural (CPC-CAU/MG).</t>
    </r>
  </si>
  <si>
    <t>Edital de Patrocínio - Assistência Técnica para Habitação de Interesse Social (Athis)</t>
  </si>
  <si>
    <t>Manter e Desenvolver as Atividades da Secretaria Geral</t>
  </si>
  <si>
    <r>
      <t>Manutenção de 100</t>
    </r>
    <r>
      <rPr>
        <b/>
        <sz val="20"/>
        <rFont val="Calibri"/>
        <family val="2"/>
        <scheme val="minor"/>
      </rPr>
      <t xml:space="preserve">% das despesas mensais como o pagamento de colaboradores e benefícios </t>
    </r>
    <r>
      <rPr>
        <sz val="20"/>
        <rFont val="Calibri"/>
        <family val="2"/>
        <scheme val="minor"/>
      </rPr>
      <t>para o cumprimento das atribuições da secretaria, tais como: elaboração de documentos e correspondências oficiais, gestão documental da Presidência do CAU/MG, cotação de preços etc.</t>
    </r>
  </si>
  <si>
    <r>
      <t xml:space="preserve">Manutenção de </t>
    </r>
    <r>
      <rPr>
        <b/>
        <sz val="20"/>
        <rFont val="Calibri"/>
        <family val="2"/>
        <scheme val="minor"/>
      </rPr>
      <t>100% das despesas mensais como o pagamento de diárias de colaboradores</t>
    </r>
    <r>
      <rPr>
        <sz val="20"/>
        <rFont val="Calibri"/>
        <family val="2"/>
        <scheme val="minor"/>
      </rPr>
      <t xml:space="preserve"> para o cumprimento das atribuições da secretaria, tais como: elaboração de documentos e correspondências oficiais, gestão documental da Presidência do CAU/MG, cotação de preços etc.</t>
    </r>
  </si>
  <si>
    <t>Aprimorar a digitalização de correspondências recebidas para encaminhamento digital para os setores</t>
  </si>
  <si>
    <t>Acompanhar mudanças na forma de inclusão de entidades no CEAU, para que as Entidades de estudantes e entidades estaduais que não possuem CNPJ estadual, possam participar do CEAU, deste que ambas sejam formadas exclusivamente por profissionais e estudantes de arquitetura e urbanismo.</t>
  </si>
  <si>
    <t>Orientações de Preenchimento do Anexo 4.Descritivo</t>
  </si>
  <si>
    <r>
      <t>1. Denominação do Projeto ou Atividade : Nome da iniciativa estratégica de acordo com o Quadro Geral.
2. Metas Físicas: bem ou serviço qualificado e quantificado resultante da execução da ação. Para efeito de padronização, as metas são organizadas em dois conjuntos
a) Meta da ação: consiste no quantitativo da ação. 
b) Descrição das ações: descrevem as iniciativas especificas que devem ser executadas dentro de um projeto ou de uma atividade para produzir os resultados estabelecidos. A ação deve transmitir com clareza a sua finalidade, conteúdo e forma de implementação (o que vai ser feito, por que será feito, onde será feito, quando será feito, como vai ser feito e com que finalidade, por quem será feito e quanto vai custar). Exemplo: Realização de cursos de capacitação no SICCAU. 
c) Ações Estratégicas Prioritárias: selecionar as ações que melhor se enquadram com o objetivo geral. A opção "Não se aplica" deve ser utilizada quando a ação descrita não faz parte do rol das "Ações Estratégicas Prioritárias". As ações selecionadas devem respeitar as  correlações com os objetivos estratégicos, conforme detalhamento na aba "Ações Estratégicas-Descrição".
3. Programação 2021: Considerar os valores aprovados vigentes na Programação do Plano de Ação 2021, de acordo com o quadro geral.
4. Reprogramação 2021: Considerar os valores executados até a data de corte com os valores projetados, de acordo com o quadro geral.
5. A custear com Recursos do Fundo de Apoio: Informar se o projeto ou atividade será financiada por recursos oriundos do fundo de apoio dos CAU/UF, apenas para os CAU/Básicos. Atenção: Cabe salientar que os CAU Básico, na elaboração de sua Reprogramação para 2021, deverão observar com maior rigor todos os procedimentos e estratégias estabelecidas nas Diretrizes e na</t>
    </r>
    <r>
      <rPr>
        <sz val="20"/>
        <color rgb="FFFF0000"/>
        <rFont val="Calibri"/>
        <family val="2"/>
        <scheme val="minor"/>
      </rPr>
      <t xml:space="preserve"> Resolução nº 119, valendo ressaltar “Art. 6° Os recursos provenientes do Fundo de Apoio deverão ser utilizados em estrita conformidade com o Plano de Ação aprovado, sendo vedada a sua utilização para despesas de capital”. Vale ressaltar também  que a participação nas reuniões plenárias ampliadas e o valor do CSC devem ser custeados pelo Fundo de Apoio.</t>
    </r>
    <r>
      <rPr>
        <sz val="20"/>
        <rFont val="Calibri"/>
        <family val="2"/>
        <scheme val="minor"/>
      </rPr>
      <t xml:space="preserve">
6. % Utilização do Fundo de Apoio: representatividade da utilização do fundo para custear a ação.</t>
    </r>
  </si>
  <si>
    <t>Realizar oficinas virtuais de Tabela de Honorários</t>
  </si>
  <si>
    <t>Contratar e promover treinamento de atendimento aos público para os empregados lotados no Atendimento</t>
  </si>
  <si>
    <t>Realizar oficinas virtuais de questões relacionadas ao SICCAU</t>
  </si>
  <si>
    <t xml:space="preserve">Capacitação pregões eletrônicos </t>
  </si>
  <si>
    <t>Assessoria de Comunicação (Ascom)</t>
  </si>
  <si>
    <t>Manter e Desenvolver as Atividades da Assessoria de Comunicação</t>
  </si>
  <si>
    <t>Fortalecer a imagem do CAU/MG e garantir a divulgação das informações da autarquia para a sociedade.</t>
  </si>
  <si>
    <t>Acompanhamento da produção, desenvolvimento e distribuição de cartilhas e divulgação de campanhas; Demandas administrativas relativas a assessoria.</t>
  </si>
  <si>
    <t>Comissão Especial de Assistência Técnica para Habitação de Interesse Social (Cathis)</t>
  </si>
  <si>
    <t>Cumprir as competências da Comissão conforme Regimento Interno e as ações previstas no seu Plano de Trabalho e no Plano de Ação do CAU/MG.</t>
  </si>
  <si>
    <t>Diretrizes e orientações elaboradas e revisadas voltadas para o aperfeiçoamento da política de assistência técnica para habitação de interesse social pública e gratuita e para o desenvolvimento profissional integrado às demandas habitacionais, urbanas e ambientais dos territórios; Demandas administrativas relativas à Comissão realizadas conforme previsões regimentais e pelos normativos do CAU.</t>
  </si>
  <si>
    <t>Colegiado das Entidades Estaduais de Arquitetos e Urbanistas do CAU/MG (CEAU)</t>
  </si>
  <si>
    <t>Cumprir as competências do Colegiado conforme Regimento Interno e as ações previstas no seu Plano de Trabalho e no Plano de Ação do CAU/MG.</t>
  </si>
  <si>
    <t>Ações desenvolvidas voltadas à capacitação técnica, valorização profissional e conscientização da sociedade do papel do arquiteto e urbanista; Demandas administrativas relativas ao CEAU realizadas conforme previsões regimentais e pelos normativos do CAU.</t>
  </si>
  <si>
    <t>Fortalecer a relação institucional com as entidades de arquitetos e urbanistas no sentido de fomentar o acesso da sociedade à arquitetura e urbanismo.</t>
  </si>
  <si>
    <t>Lançamento de Edital de Patrocínio e firmar convênios específicos com o objetivo de valorizar a Arquitetura e Urbanismo em Minas Gerais.</t>
  </si>
  <si>
    <t>Comissão de Organização e Administração (COA)</t>
  </si>
  <si>
    <t>Cumprir as competências da Comissão conforme Regimento Interno e as ações previstas no seu Plano de Trabalho e no Plano Estratégico do CAU/MG para o biênio 2019-2020.</t>
  </si>
  <si>
    <t>Diretrizes e orientações elaboradas e revisadas voltadas para melhorias organizacionais, normativas e administrativas do CAU/MG; Demandas administrativas relativas à Comissão realizadas conforme previsões regimentais e pelos normativos do CAU.</t>
  </si>
  <si>
    <t>Comissão de Ensino e Formação (CEF)</t>
  </si>
  <si>
    <t>Cumprir as competências da Comissão listadas no Regimento Interno e ações previstas no seu Plano de Trabalho e no Plano Estratégico do CAU/MG para o biênio 2019-2020.</t>
  </si>
  <si>
    <t>Diretrizes e orientações desenvolvidas para maior integração entre CAU/MG e as Instituições de Ensino Superior mineiras; Demandas administrativas relativas à Comissão realizadas conforme previsões regimentais e pelos normativos do CAU.</t>
  </si>
  <si>
    <t>Comissão de Ética e Disciplina (CED)</t>
  </si>
  <si>
    <t>Diretrizes e orientações desenvolvidas e divulgadas para a ampliação da compreensão do Código de Ética no Estado de Minas Gerais; Demandas administrativas relativas à Comissão realizadas conforme previsões regimentais e pelos normativos do CAU.</t>
  </si>
  <si>
    <t>Comissão de Exercício Profissional (CEP)</t>
  </si>
  <si>
    <t>Diretrizes e orientações  elaboradas e monitoradas para a fiscalização do CAU/MG; Demandas administrativas relativas à Comissão realizadas conforme previsões regimentais e pelos normativos do CAU.</t>
  </si>
  <si>
    <t>Comissão de Planejamento e Finanças (CPFi)</t>
  </si>
  <si>
    <t>Diretrizes e orientações elaboradas e revisadas voltadas para melhorias no planejamento das ações administrativas e financeiras do CAU/MG; Demandas administrativas relativas à Comissão realizadas conforme previsões regimentais e pelos normativos do CAU.</t>
  </si>
  <si>
    <t>Comissão Especial de Patrimônio Cultural (CPC)</t>
  </si>
  <si>
    <t>Cumprir as competências da Comissão conforme Regimento Interno e as ações previstas no seu Plano de Trabalho e no Plano de Ação Estratégica do CAU/MG para o biênio 2019-2020.</t>
  </si>
  <si>
    <t>Diretrizes e orientações elaboradas e revisadas voltadas para a valorização e difusão do patrimônio cultural  e promoção da participação dos arquitetos e urbanistas na atuação direta e gestão do patrimônio cultural como política de Estado; Demandas administrativas relativas à Comissão realizadas conforme previsões regimentais e pelos normativos do CAU.</t>
  </si>
  <si>
    <t>Comissão Especial de Política Urbana e Ambiental (CPUA)</t>
  </si>
  <si>
    <t>Diretrizes e orientações elaboradas e revisadas voltadas para o aperfeiçoamento da política urbana de municípios e estado e para o desenvolvimento profissional integrado às demandas relativas ao planejamento urbano e territorial; Demandas administrativas relativas à Comissão realizadas conforme previsões regimentais e pelos normativos do CAU.</t>
  </si>
  <si>
    <t>Escritório Descentralizado Leste de Minas</t>
  </si>
  <si>
    <t>Cumprir a finalidade precípua do Conselho, garantindo a fiscalização do exercício profissional na Regional Leste de Minas.</t>
  </si>
  <si>
    <t>Desenvolvimento das ações de atendimento planejadas para a Regional.</t>
  </si>
  <si>
    <t>Escritório Descentralizado Norte Minas</t>
  </si>
  <si>
    <t>Cumprir a finalidade precípua do Conselho, garantindo a fiscalização do exercício profissional na Regional Norte de Minas.</t>
  </si>
  <si>
    <t>Escritório Descentralizado Sul de Minas</t>
  </si>
  <si>
    <t>Cumprir a finalidade precípua do Conselho, garantindo a fiscalização do exercício profissional na Regional Sul de Minas.</t>
  </si>
  <si>
    <t>Escritório Descentralizado Triângulo Mineiro e Alto Paranaíba</t>
  </si>
  <si>
    <t>Cumprir a finalidade precípua do Conselho, garantindo a fiscalização do exercício profissional na Regional Triângulo Mineiro e Alto Paranaíba.</t>
  </si>
  <si>
    <t>Escritório Descentralizado Zona da Mata e Vertentes</t>
  </si>
  <si>
    <t>Cumprir a finalidade precípua do Conselho, garantindo a fiscalização do exercício profissional na Regional Zona da Mata e Vertentes.</t>
  </si>
  <si>
    <t>Gerência Administrativa e Financeira (GAF)</t>
  </si>
  <si>
    <t>Observar a Sustentabilidade Financeira do CAU/MG e acompanhar a execução orçamentária e financeira.</t>
  </si>
  <si>
    <t>Desenvolvimento pleno das rotinas administrativas e financeiras do CAU/MG; Garantia da sustentabilidade financeira do CAU/MG.</t>
  </si>
  <si>
    <t>Assegurar a sustentabilidade financeira do Sistema do CAU, apoiando os CAU/UF básicos.</t>
  </si>
  <si>
    <t>Garantia da sustentabilidade do Fundo de Apoio do CAU.</t>
  </si>
  <si>
    <t>Gerência Técnica e Fiscalização (Gertef) -  Coordenação de Fiscalização</t>
  </si>
  <si>
    <t>Centro de Serviços Compartilhados (CSC) - Fiscalização</t>
  </si>
  <si>
    <t>Assegurar o funcionamento do Centro de Serviços Compartilhados e Fundo de Reserva CSC relacionadas à Fiscalização.</t>
  </si>
  <si>
    <t>Garantia do funcionamento do CSC e dos demais Sistemas de Informação a ele vinculados.</t>
  </si>
  <si>
    <t>Gerência Técnica e Fiscalização (Gertef) -  Coordenação Técnica</t>
  </si>
  <si>
    <t>Assegurar o funcionamento do Centro de Serviços Compartilhados e Fundo de Reserva CSC relacionadas ao Atendimento.</t>
  </si>
  <si>
    <t>Manter o Fundo para despesas não planejadas.</t>
  </si>
  <si>
    <t>Fomento de despesas extraordinárias do CAU/MG efetivado.</t>
  </si>
  <si>
    <t>Gerência Especial de Planejamento e Gestão Estratégica (Geplan)</t>
  </si>
  <si>
    <t>Cumprir as atribuições da  Gerência Especial de Planejamento e Gestão Estratégica conforme atos administrativos do CAU/MG.</t>
  </si>
  <si>
    <t>Elaboração dos Planos de Ação; Termos de cooperação técnica com municípios e órgãos públicos; Apoio à Presidência; Acompanhamento dos Indicadores Estratégicos revisados; Elaboração e consolidação das propostas de Programação e Reprogramação Orçamentária; Elaboração e consolidação dos Relatórios de Gestão; Atualização do fluxo de trabalho de processos operacionais padrão (POP).</t>
  </si>
  <si>
    <t>Gerência Geral (Gergel)</t>
  </si>
  <si>
    <t>Promover a arquitetura e urbanismo em Minas Gerais através do contato e participação de profissionais e sociedade.</t>
  </si>
  <si>
    <t>Realização de eventos de integração e de esclarecimentos para profissionais e sociedade sobre Arquitetura e Urbanismo.</t>
  </si>
  <si>
    <t>Cumprir as atribuições da Gerência Geral conforme atos administrativos do CAU/MG.</t>
  </si>
  <si>
    <t>Integração das atividades realizadas pelas unidades administrativas do CAU/MG.</t>
  </si>
  <si>
    <t>Ocupar espaço físico qualificado e acessível à sociedade para cumprir a finalidade precípua da autarquia.</t>
  </si>
  <si>
    <t>Ocupação de nova sede que comporte com qualidade seu Quadro de Pessoal projetado, mais atividades e reuniões de seus órgãos colegiados, além de economia financeira com custeios de Sede.</t>
  </si>
  <si>
    <t>Gerência Jurídica (Gerjur)</t>
  </si>
  <si>
    <t>Preservar a imagem jurídica do CAU/MG e observar a legalidade dos processos internos.</t>
  </si>
  <si>
    <t>Ajuizamento e defesa em ações do CAU/MG na Justiça; Cumprimento dos expedientes de rotina atribuída à Gerência pelos atos normativos do CAU/MG.</t>
  </si>
  <si>
    <t>Gerência Técnica  de Fiscalização (Gertef) - Coordenação Técnica</t>
  </si>
  <si>
    <t>Manter a regularidade dos registros, anotação de títulos e acervo do profissional.</t>
  </si>
  <si>
    <t>Atender solicitações e cumprir os prazos previstos na Carta de Serviços e normativos do CAU/BR; realização do assessoramento de Comissões.</t>
  </si>
  <si>
    <t>Gerência Técnica  de Fiscalização (Gertef) - Coordenação Fiscalização</t>
  </si>
  <si>
    <t>Cumprir a finalidade precípua do Conselho, garantindo a fiscalização do exercício profissional.</t>
  </si>
  <si>
    <t>Planejamento e execução das ações de fiscalização.</t>
  </si>
  <si>
    <t>Gerência Técnica  de Fiscalização (Gertef) - Rotas</t>
  </si>
  <si>
    <t>Promover a atuação itinerante do CAU/MG e mesmo as ações de fiscalização que envolvam uso de veículo.</t>
  </si>
  <si>
    <t>Ampliação da atuação da Fiscalização Itinerante do CAU/MG, não apenas nas cidades onde há a presença dos fiscais, mas também em outros municípios mineiros.</t>
  </si>
  <si>
    <t>Presidência</t>
  </si>
  <si>
    <t>Cumprir as competências dos órgãos colegiados conforme Regimento Interno e seu planejamento</t>
  </si>
  <si>
    <t>Representação oficial realizada pela Presidência do CAU/MG e de seus Conselheiros Federais nas reuniões dos órgãos colegiados do CAU/MG; Rotinas administrativas realizadas pela Presidência do CAU/MG.</t>
  </si>
  <si>
    <t>Garantir a realização de reuniões e ações de Comissões Temporárias instituídas pelo Plenário para atender demandas específicas, conforme Regimento Interno.</t>
  </si>
  <si>
    <t>Apresentação de relatório(s) conclusivo(s) dirigido(s) ao órgão proponente pela instituição das Comissões Temporárias, apresentados ao final dos trabalhos de resolução de demanda específica, publicando-os no sítio eletrônico do CAU/MG.</t>
  </si>
  <si>
    <t>Garantir a representação de colaborador ou dirigente do CAU/MG no desenvolvimento de ações ligadas ao planejamento urbano e temáticas afins.</t>
  </si>
  <si>
    <t>Ampliar a presença do CAU/MG nos debates de planejamento urbano e temáticas afins no estado.</t>
  </si>
  <si>
    <t>Garantir a representação de colaborador ou dirigente do CAU/MG no desenvolvimento de ações ligadas ao ensino, formação profissional e ao Código de Ética.</t>
  </si>
  <si>
    <t>Ampliar a presença do CAU/MG em Instituições de Ensino Superior (IES) mineiras e órgãos públicos municipais e do estado.</t>
  </si>
  <si>
    <t>Garantir a capacitação de colaboradores e dirigentes, melhorando e ampliando a capacidade técnica desses agentes.</t>
  </si>
  <si>
    <t>Capacitação realizada de colaboradores e dirigentes.</t>
  </si>
  <si>
    <t>Fomentar atividades que promovam a arquitetura e urbanismo em Minas Gerais.</t>
  </si>
  <si>
    <t>Lançamento de Edital de Patrocínio, e firmar convênios específicos com o objetivo de valorizar a Arquitetura e Urbanismo em Minas Gerais.</t>
  </si>
  <si>
    <t>Fomentar atividades que promovam a arquitetura e urbanismo em Minas Gerais no campo da Assistência Técnica para a Habitação de Interesse Social (Athis).</t>
  </si>
  <si>
    <t>Secretaria Geral</t>
  </si>
  <si>
    <t>Cumprir as atribuições da Secretaria Geral conforme atos administrativos do CAU/MG.</t>
  </si>
  <si>
    <t>Documentos e correspondências oficiais elaborados; gestão documental da Presidência realizada; cotação de preços realizada.</t>
  </si>
  <si>
    <r>
      <t xml:space="preserve">Manutenção de </t>
    </r>
    <r>
      <rPr>
        <b/>
        <sz val="20"/>
        <rFont val="Calibri"/>
        <family val="2"/>
        <scheme val="minor"/>
      </rPr>
      <t>100% das despesas mensais com o pagamento de colaboradores e benefícios</t>
    </r>
    <r>
      <rPr>
        <sz val="20"/>
        <rFont val="Calibri"/>
        <family val="2"/>
        <scheme val="minor"/>
      </rPr>
      <t xml:space="preserve"> para o cumprimento das atividades de atendimento realizadas no escritório descentralizado.</t>
    </r>
  </si>
  <si>
    <r>
      <t xml:space="preserve">Manutenção de </t>
    </r>
    <r>
      <rPr>
        <b/>
        <sz val="20"/>
        <rFont val="Calibri"/>
        <family val="2"/>
        <scheme val="minor"/>
      </rPr>
      <t>100% das despesas mensais com passagem aérea, serviço de postagens institucionais, serviços de transporte urbanos (Táxi) e remuneração de estagiários</t>
    </r>
    <r>
      <rPr>
        <sz val="20"/>
        <rFont val="Calibri"/>
        <family val="2"/>
        <scheme val="minor"/>
      </rPr>
      <t xml:space="preserve"> para o cumprimento das atribuições da secretaria, tais como: elaboração de documentos e correspondências oficiais, gestão documental da Presidência do CAU/MG, cotação de preços etc.</t>
    </r>
  </si>
  <si>
    <t>Custear participação de colaborador(es) na Conferência Nacional do Secretariado (CONASEC).</t>
  </si>
  <si>
    <t xml:space="preserve">Edital de Patrocínio Técnico e/ou Cultural de Projetos com enfoque nos 20 anos do Estatuto da Cidade - Lançamento de Edital de Patrocínio Técnico e/ou Cultural que contribuam para o desenvolvimento da Arquitetura e Urbanismo em Minas Gerais com enfoque nos 20 anos do Estatuto da Cidade.
</t>
  </si>
  <si>
    <t>Representação em eventos</t>
  </si>
  <si>
    <t>MINASCON: apoiar e participar de um evento realizado pela Federação das Industrias do Estado de Minas Gerais (FIEMG) de repercussão estadual.</t>
  </si>
  <si>
    <t>Adequação de espaços físicos da Sede e Escritórios descentralizados do CAU/MG- Serviços Diversos</t>
  </si>
  <si>
    <t>Adequação de espaços físicos da Sede e Escritórios descentralizados do CAU/MG- Itens Imobilizados</t>
  </si>
  <si>
    <t>Aquisição de equipamento de Videoconferência para reuniões híbridas na Sede- Imobilizado</t>
  </si>
  <si>
    <t>Adequações para a Van do CAU/MG</t>
  </si>
  <si>
    <t>Capacitação sistemas Implanta informática para os colaboradores da GAF</t>
  </si>
  <si>
    <t>Capacitação de Excel para os empregados do CAU/MG</t>
  </si>
  <si>
    <t>Execução 
01 Jan a 31 Maio (B)</t>
  </si>
  <si>
    <t>Projetado 
01 Jun a 31 Dez (C )</t>
  </si>
  <si>
    <t>Participação de Membros da Comissão em reuniões e/ou eventos relacionados as atribuições da Comissão</t>
  </si>
  <si>
    <r>
      <t>Manutenção de</t>
    </r>
    <r>
      <rPr>
        <b/>
        <sz val="20"/>
        <rFont val="Calibri"/>
        <family val="2"/>
        <scheme val="minor"/>
      </rPr>
      <t xml:space="preserve"> 100% das despesas mensais com os serviços de internet, informática, telecomunicações, limpeza e conservação, energia elétrica, medicina do trabalho, seguros diversos, despesas miúdas de pronto pagamento e demais serviços </t>
    </r>
    <r>
      <rPr>
        <sz val="20"/>
        <rFont val="Calibri"/>
        <family val="2"/>
        <scheme val="minor"/>
      </rPr>
      <t>necessários para o cumprimento das atividades de atendimento  realizadas no escritório descentralizado.</t>
    </r>
  </si>
  <si>
    <r>
      <t xml:space="preserve">Manutenção de </t>
    </r>
    <r>
      <rPr>
        <b/>
        <sz val="20"/>
        <color theme="1"/>
        <rFont val="Calibri"/>
        <family val="2"/>
        <scheme val="minor"/>
      </rPr>
      <t>100% das despesas mensais com o pagamento de indenizações e restituições, Impostos e taxas, tarifas bancárias, seguros diversos.</t>
    </r>
  </si>
  <si>
    <r>
      <t xml:space="preserve">Ações Institucionais - Frentes de Fiscalização: realizar por meio do Projeto Rotas </t>
    </r>
    <r>
      <rPr>
        <b/>
        <sz val="20"/>
        <color theme="1"/>
        <rFont val="Calibri"/>
        <family val="2"/>
        <scheme val="minor"/>
      </rPr>
      <t>1.500 (mil e quinhentas) ações de fiscalização</t>
    </r>
    <r>
      <rPr>
        <sz val="20"/>
        <color theme="1"/>
        <rFont val="Calibri"/>
        <family val="2"/>
        <scheme val="minor"/>
      </rPr>
      <t xml:space="preserve"> de atividades de projeto, execução construções, de obras de reformas e interiores em diversas cidades mineiras. </t>
    </r>
    <r>
      <rPr>
        <b/>
        <sz val="20"/>
        <color theme="1"/>
        <rFont val="Calibri"/>
        <family val="2"/>
        <scheme val="minor"/>
      </rPr>
      <t>Despesas com manutenção de veículos, despesas com locação de veículo, contratação de motorista executivo  e despesas com seguro da Van do Projeto Rotas.</t>
    </r>
  </si>
  <si>
    <t>Contratar empresa de telefonia pela internet</t>
  </si>
  <si>
    <t>Edital de Apoio Institucional</t>
  </si>
  <si>
    <t>Promover premiação através de um edital de boas práticas na Arquitetura e Urbanismo no campo da política urbana e ambiental e enviar para a aprovação do Conselho Diretor do CAU/MG.</t>
  </si>
  <si>
    <t xml:space="preserve">Fomentar atividades no campo da Política Urbana e Ambiental </t>
  </si>
  <si>
    <t xml:space="preserve">Lançamento de Edital e Premiação dos trabalhos que promovam a Arquitetura e Urbanismo no campo da Política Urbana e Ambiental
</t>
  </si>
  <si>
    <t>Incentivar iniciativas diversas relacionadas ao Exercício da Arquitetura e Urbanismo</t>
  </si>
  <si>
    <t>Apoio Institucional com repasse financeiro como incentivo a iniciativas diversas relacionadas ao Exercício da Arquitetura e Urbanismo</t>
  </si>
  <si>
    <t>NSA</t>
  </si>
  <si>
    <t>CAU/UF: CONSELHO DE ARQUITETURA E URBANISMO DO ESTADO DE MINAS GERAIS</t>
  </si>
  <si>
    <r>
      <t xml:space="preserve">Índice de municípios que possuem  Plano Diretor, em conformidade com os critérios da legislação (%) 
</t>
    </r>
    <r>
      <rPr>
        <b/>
        <sz val="16"/>
        <color theme="1"/>
        <rFont val="Calibri"/>
        <family val="2"/>
        <scheme val="minor"/>
      </rPr>
      <t xml:space="preserve">(CAU/UF) </t>
    </r>
  </si>
  <si>
    <r>
      <t xml:space="preserve">Índice da capacidade de fiscalização (%) 
</t>
    </r>
    <r>
      <rPr>
        <b/>
        <sz val="16"/>
        <rFont val="Calibri"/>
        <family val="2"/>
        <scheme val="minor"/>
      </rPr>
      <t xml:space="preserve">(CAU/UF) </t>
    </r>
  </si>
  <si>
    <r>
      <t xml:space="preserve">Índice de presença profissional nas obras e  serviços fiscalizados  (%)
</t>
    </r>
    <r>
      <rPr>
        <b/>
        <sz val="16"/>
        <rFont val="Calibri"/>
        <family val="2"/>
        <scheme val="minor"/>
      </rPr>
      <t xml:space="preserve">(CAU/UF) </t>
    </r>
    <r>
      <rPr>
        <sz val="16"/>
        <rFont val="Calibri"/>
        <family val="2"/>
        <scheme val="minor"/>
      </rPr>
      <t xml:space="preserve">                   </t>
    </r>
  </si>
  <si>
    <r>
      <t xml:space="preserve">Índice de RRT por profissional ativo (Qtd)
</t>
    </r>
    <r>
      <rPr>
        <b/>
        <sz val="16"/>
        <rFont val="Calibri"/>
        <family val="2"/>
        <scheme val="minor"/>
      </rPr>
      <t xml:space="preserve">(CAU/UF)         </t>
    </r>
    <r>
      <rPr>
        <sz val="16"/>
        <rFont val="Calibri"/>
        <family val="2"/>
        <scheme val="minor"/>
      </rPr>
      <t xml:space="preserve">       </t>
    </r>
  </si>
  <si>
    <r>
      <t xml:space="preserve">Índice de capacidade de atendimento de denúncias  (%)
</t>
    </r>
    <r>
      <rPr>
        <b/>
        <sz val="16"/>
        <rFont val="Calibri"/>
        <family val="2"/>
        <scheme val="minor"/>
      </rPr>
      <t>(CAU/UF)</t>
    </r>
  </si>
  <si>
    <r>
      <t xml:space="preserve">Índice de eficiência na conclusão de processos de fiscalização  (%)
</t>
    </r>
    <r>
      <rPr>
        <b/>
        <sz val="16"/>
        <rFont val="Calibri"/>
        <family val="2"/>
        <scheme val="minor"/>
      </rPr>
      <t>(CAU/UF)</t>
    </r>
  </si>
  <si>
    <r>
      <t xml:space="preserve">Índice da capacidade de articulação institucional para fiscalização (%)
</t>
    </r>
    <r>
      <rPr>
        <b/>
        <sz val="16"/>
        <rFont val="Calibri"/>
        <family val="2"/>
        <scheme val="minor"/>
      </rPr>
      <t>(CAU/UF)</t>
    </r>
  </si>
  <si>
    <r>
      <t xml:space="preserve">Índice produtividade de fiscalização (%)
</t>
    </r>
    <r>
      <rPr>
        <b/>
        <sz val="16"/>
        <rFont val="Calibri"/>
        <family val="2"/>
        <scheme val="minor"/>
      </rPr>
      <t>(CAU/UF)</t>
    </r>
  </si>
  <si>
    <r>
      <t xml:space="preserve">Índice de regularidade no CAU (%)
</t>
    </r>
    <r>
      <rPr>
        <b/>
        <sz val="16"/>
        <rFont val="Calibri"/>
        <family val="2"/>
        <scheme val="minor"/>
      </rPr>
      <t>(CAU/UF)</t>
    </r>
  </si>
  <si>
    <r>
      <t xml:space="preserve">Índice de regularização de obras e serviços (%)
</t>
    </r>
    <r>
      <rPr>
        <b/>
        <sz val="16"/>
        <rFont val="Calibri"/>
        <family val="2"/>
        <scheme val="minor"/>
      </rPr>
      <t>(CAU/UF)</t>
    </r>
  </si>
  <si>
    <r>
      <t xml:space="preserve">Índice de regularização com RRT (%)
</t>
    </r>
    <r>
      <rPr>
        <b/>
        <sz val="16"/>
        <rFont val="Calibri"/>
        <family val="2"/>
        <scheme val="minor"/>
      </rPr>
      <t>(CAU/UF)</t>
    </r>
  </si>
  <si>
    <r>
      <t xml:space="preserve">Índice de atendimento (%)
</t>
    </r>
    <r>
      <rPr>
        <b/>
        <sz val="16"/>
        <rFont val="Calibri"/>
        <family val="2"/>
        <scheme val="minor"/>
      </rPr>
      <t>(CAU/UF)</t>
    </r>
  </si>
  <si>
    <r>
      <t xml:space="preserve">Índice de satisfação com a solução da demanda (%)
</t>
    </r>
    <r>
      <rPr>
        <b/>
        <sz val="16"/>
        <rFont val="Calibri"/>
        <family val="2"/>
        <scheme val="minor"/>
      </rPr>
      <t>(CAU/UF)</t>
    </r>
  </si>
  <si>
    <r>
      <t xml:space="preserve">Índice de reclamações recebidas na Ouvidoria (%)
</t>
    </r>
    <r>
      <rPr>
        <b/>
        <sz val="16"/>
        <rFont val="Calibri"/>
        <family val="2"/>
        <scheme val="minor"/>
      </rPr>
      <t>(CAU/UF)</t>
    </r>
  </si>
  <si>
    <r>
      <t xml:space="preserve">Índice da capacidade de execução dos investimentos em patrocínios  (%)
</t>
    </r>
    <r>
      <rPr>
        <b/>
        <sz val="16"/>
        <rFont val="Calibri"/>
        <family val="2"/>
        <scheme val="minor"/>
      </rPr>
      <t>(CAU/UF)</t>
    </r>
  </si>
  <si>
    <r>
      <t xml:space="preserve">Índice de difusão de conhecimento em eventos próprios (%)
</t>
    </r>
    <r>
      <rPr>
        <b/>
        <sz val="16"/>
        <rFont val="Calibri"/>
        <family val="2"/>
        <scheme val="minor"/>
      </rPr>
      <t>(CAU/UF)</t>
    </r>
  </si>
  <si>
    <r>
      <t xml:space="preserve">Índice de eficiência de custos de eventos próprios
</t>
    </r>
    <r>
      <rPr>
        <b/>
        <sz val="16"/>
        <rFont val="Calibri"/>
        <family val="2"/>
        <scheme val="minor"/>
      </rPr>
      <t>(CAU/UF)</t>
    </r>
  </si>
  <si>
    <r>
      <t xml:space="preserve">Índice de alcance das melhores práticas (%)
</t>
    </r>
    <r>
      <rPr>
        <b/>
        <sz val="16"/>
        <rFont val="Calibri"/>
        <family val="2"/>
        <scheme val="minor"/>
      </rPr>
      <t>(CAU/UF)</t>
    </r>
  </si>
  <si>
    <r>
      <t xml:space="preserve">Ações realizadas em conjunto com municípios, destinadas ao planejamento urbano
</t>
    </r>
    <r>
      <rPr>
        <b/>
        <sz val="16"/>
        <color theme="1"/>
        <rFont val="Calibri"/>
        <family val="2"/>
        <scheme val="minor"/>
      </rPr>
      <t>(CAU/UF)</t>
    </r>
  </si>
  <si>
    <r>
      <t xml:space="preserve">Participação do CAU na elaboração ou regulamentação da Lei da Assistência Técnica Gratuita (Lei nº 11.888/08) (%)
</t>
    </r>
    <r>
      <rPr>
        <b/>
        <sz val="16"/>
        <rFont val="Calibri"/>
        <family val="2"/>
        <scheme val="minor"/>
      </rPr>
      <t>(CAU/UF)</t>
    </r>
  </si>
  <si>
    <r>
      <t xml:space="preserve">Índice de ações realizadas destinadas à Assistência Técnica (%)
</t>
    </r>
    <r>
      <rPr>
        <b/>
        <sz val="16"/>
        <rFont val="Calibri"/>
        <family val="2"/>
        <scheme val="minor"/>
      </rPr>
      <t>(CAU/UF)</t>
    </r>
  </si>
  <si>
    <r>
      <t xml:space="preserve">Acessos à página do CAU (Qtd.)
</t>
    </r>
    <r>
      <rPr>
        <b/>
        <sz val="16"/>
        <rFont val="Calibri"/>
        <family val="2"/>
        <scheme val="minor"/>
      </rPr>
      <t>(CAU/UF)</t>
    </r>
  </si>
  <si>
    <r>
      <t xml:space="preserve">Índice de presença na mídia como um todo (%)
</t>
    </r>
    <r>
      <rPr>
        <b/>
        <sz val="16"/>
        <rFont val="Calibri"/>
        <family val="2"/>
        <scheme val="minor"/>
      </rPr>
      <t>(CAU/UF)</t>
    </r>
  </si>
  <si>
    <r>
      <t xml:space="preserve">Índice de inserções positivas na mídia (%)
</t>
    </r>
    <r>
      <rPr>
        <b/>
        <sz val="16"/>
        <rFont val="Calibri"/>
        <family val="2"/>
        <scheme val="minor"/>
      </rPr>
      <t>(CAU/UF)</t>
    </r>
  </si>
  <si>
    <r>
      <t xml:space="preserve">Índice de escolas que possuem disciplinas com conteúdo sobre a ética profissional (%)
</t>
    </r>
    <r>
      <rPr>
        <b/>
        <sz val="16"/>
        <rFont val="Calibri"/>
        <family val="2"/>
        <scheme val="minor"/>
      </rPr>
      <t>(CAU/UF)</t>
    </r>
  </si>
  <si>
    <r>
      <t xml:space="preserve">Índice de eficiência na conclusão de processos éticos (%)
</t>
    </r>
    <r>
      <rPr>
        <b/>
        <sz val="16"/>
        <rFont val="Calibri"/>
        <family val="2"/>
        <scheme val="minor"/>
      </rPr>
      <t>(CAU/UF)</t>
    </r>
  </si>
  <si>
    <r>
      <t xml:space="preserve">Eficiência no trâmite de processos éticos (dias)
</t>
    </r>
    <r>
      <rPr>
        <b/>
        <sz val="16"/>
        <rFont val="Calibri"/>
        <family val="2"/>
        <scheme val="minor"/>
      </rPr>
      <t>(CAU/UF)</t>
    </r>
  </si>
  <si>
    <r>
      <t xml:space="preserve">Índice de RRT por população (1.000 habitantes) (%)
</t>
    </r>
    <r>
      <rPr>
        <b/>
        <sz val="16"/>
        <rFont val="Calibri"/>
        <family val="2"/>
        <scheme val="minor"/>
      </rPr>
      <t>(CAU/UF)</t>
    </r>
  </si>
  <si>
    <r>
      <t xml:space="preserve">Índice de RRT mínimos (%)
</t>
    </r>
    <r>
      <rPr>
        <b/>
        <sz val="16"/>
        <rFont val="Calibri"/>
        <family val="2"/>
        <scheme val="minor"/>
      </rPr>
      <t>(CAU/UF)</t>
    </r>
  </si>
  <si>
    <r>
      <t xml:space="preserve">Índice de RRT Social (%)
</t>
    </r>
    <r>
      <rPr>
        <b/>
        <sz val="16"/>
        <rFont val="Calibri"/>
        <family val="2"/>
        <scheme val="minor"/>
      </rPr>
      <t>(CAU/UF)</t>
    </r>
  </si>
  <si>
    <r>
      <t xml:space="preserve">Índice de receita por arquiteto e urbanista 
</t>
    </r>
    <r>
      <rPr>
        <b/>
        <sz val="16"/>
        <rFont val="Calibri"/>
        <family val="2"/>
        <scheme val="minor"/>
      </rPr>
      <t>(CAU/UF)</t>
    </r>
  </si>
  <si>
    <r>
      <t xml:space="preserve">Relação receita/custo total de pessoal (%)
</t>
    </r>
    <r>
      <rPr>
        <b/>
        <sz val="16"/>
        <rFont val="Calibri"/>
        <family val="2"/>
        <scheme val="minor"/>
      </rPr>
      <t>(CAU/UF)</t>
    </r>
  </si>
  <si>
    <r>
      <t xml:space="preserve">Índice de liquidez corrente 
</t>
    </r>
    <r>
      <rPr>
        <b/>
        <sz val="16"/>
        <rFont val="Calibri"/>
        <family val="2"/>
        <scheme val="minor"/>
      </rPr>
      <t>(CAU/UF)</t>
    </r>
  </si>
  <si>
    <r>
      <t xml:space="preserve">Índice de inadimplência pessoa física (%)
</t>
    </r>
    <r>
      <rPr>
        <b/>
        <sz val="16"/>
        <rFont val="Calibri"/>
        <family val="2"/>
        <scheme val="minor"/>
      </rPr>
      <t>(CAU/UF)</t>
    </r>
  </si>
  <si>
    <r>
      <t xml:space="preserve">Índice de inadimplência pessoa jurídica (%)
</t>
    </r>
    <r>
      <rPr>
        <b/>
        <sz val="16"/>
        <rFont val="Calibri"/>
        <family val="2"/>
        <scheme val="minor"/>
      </rPr>
      <t>(CAU/UF)</t>
    </r>
  </si>
  <si>
    <r>
      <t xml:space="preserve">Índice de mapeamento processos (%)
</t>
    </r>
    <r>
      <rPr>
        <b/>
        <sz val="16"/>
        <rFont val="Calibri"/>
        <family val="2"/>
        <scheme val="minor"/>
      </rPr>
      <t>(CAU/UF)</t>
    </r>
  </si>
  <si>
    <r>
      <t xml:space="preserve">Índice de normatização de processos (%)
</t>
    </r>
    <r>
      <rPr>
        <b/>
        <sz val="16"/>
        <rFont val="Calibri"/>
        <family val="2"/>
        <scheme val="minor"/>
      </rPr>
      <t>(CAU/UF)</t>
    </r>
  </si>
  <si>
    <r>
      <t xml:space="preserve">Índice de automação de processos (%)
</t>
    </r>
    <r>
      <rPr>
        <b/>
        <sz val="16"/>
        <rFont val="Calibri"/>
        <family val="2"/>
        <scheme val="minor"/>
      </rPr>
      <t>(CAU/UF)</t>
    </r>
  </si>
  <si>
    <r>
      <t xml:space="preserve">Média de horas de treinamento por colaboradores e dirigentes
</t>
    </r>
    <r>
      <rPr>
        <b/>
        <sz val="16"/>
        <rFont val="Calibri"/>
        <family val="2"/>
        <scheme val="minor"/>
      </rPr>
      <t>(CAU/UF)</t>
    </r>
  </si>
  <si>
    <r>
      <t xml:space="preserve">Índice de satisfação interna com a tecnologia utilizada (%)
</t>
    </r>
    <r>
      <rPr>
        <b/>
        <sz val="16"/>
        <rFont val="Calibri"/>
        <family val="2"/>
        <scheme val="minor"/>
      </rPr>
      <t>(CAU/UF)</t>
    </r>
  </si>
  <si>
    <r>
      <t xml:space="preserve">Índice de satisfação externa com a tecnologia utilizada (%)
</t>
    </r>
    <r>
      <rPr>
        <b/>
        <sz val="16"/>
        <rFont val="Calibri"/>
        <family val="2"/>
        <scheme val="minor"/>
      </rPr>
      <t>(CAU/UF)</t>
    </r>
  </si>
  <si>
    <t>Limites de Aplicação dos Recursos Estratégicos - Reprogramação Ordinária de 2021</t>
  </si>
  <si>
    <t>Limites de Aplicação dos Recursos Estratégicos - Reprogramação Ordinária de 2021- Despesas com Pessoal</t>
  </si>
  <si>
    <t>Demonstrativo de Usos e Fontes - Reprogramação 2021</t>
  </si>
  <si>
    <t>Edital de Patrocínio Modalidade Política Urbana</t>
  </si>
  <si>
    <t>Justificativa 02</t>
  </si>
  <si>
    <r>
      <rPr>
        <b/>
        <sz val="20"/>
        <color theme="1"/>
        <rFont val="Calibri"/>
        <family val="2"/>
      </rPr>
      <t xml:space="preserve">Comunicação interna: </t>
    </r>
    <r>
      <rPr>
        <sz val="20"/>
        <color theme="1"/>
        <rFont val="Calibri"/>
        <family val="2"/>
      </rPr>
      <t>Desenvolver uma ferramenta ou metodologia de comunicação eficiente entre funcionários e Conselheiros do CAU/MG. Promover uma maior agilidade na troca de informações e integração das diversas áreas do Conselho, por meio de armazenamento na nuvem, criação de grupos e canais virtuais e troca de mensagens.</t>
    </r>
  </si>
  <si>
    <t>Plataforma de georreferenciamento</t>
  </si>
  <si>
    <t>16 horas</t>
  </si>
  <si>
    <t>8 horas</t>
  </si>
  <si>
    <t>Qualificação dos canais de atendimento</t>
  </si>
  <si>
    <r>
      <t xml:space="preserve">Ações Institucionais - Fomento e Inovação: lançar </t>
    </r>
    <r>
      <rPr>
        <b/>
        <sz val="20"/>
        <color theme="1"/>
        <rFont val="Calibri"/>
        <family val="2"/>
        <scheme val="minor"/>
      </rPr>
      <t xml:space="preserve">um Edital de Chamada Pública de Patrocínio </t>
    </r>
    <r>
      <rPr>
        <sz val="20"/>
        <color theme="1"/>
        <rFont val="Calibri"/>
        <family val="2"/>
        <scheme val="minor"/>
      </rPr>
      <t>na modalidade Assistência Técnica para Habitação de Interesse Social (Athis), a partir de diretrizes elaboradas pela Cathis-CAU/MG, destinado a prmover melhores condições de vida para as populações em situação de vulnerabilidade social, fundamentado na função social do Arquiteto(a) e Urbanista e no que se estabelece como Athis na Lei Federal n° 11.888, de 2008.</t>
    </r>
  </si>
  <si>
    <t>Edital de Patrocínio modalidade Política Urbana</t>
  </si>
  <si>
    <t>Mudança e Adequações da nova Sede e escritórios descentralizados do CAU/MG</t>
  </si>
  <si>
    <t>Manter e Desenvolver as Atividades do Escritório Descentralizado Leste de Minas</t>
  </si>
  <si>
    <t>Manter e Desenvolver as Atividades do Escritório Descentralizado Norte de Minas</t>
  </si>
  <si>
    <t>Fiscalização Itinerante / Rotas</t>
  </si>
  <si>
    <t>Manter e Desenvolver as Atividades do Escritório Descentralizado Sul de Minas</t>
  </si>
  <si>
    <t>Manter e Desenvolver as Atividades do Escritório Descentralizado Triângulo Mineiro e Alto Paranaíba</t>
  </si>
  <si>
    <t>Execução 
 Jan/Maio (B)</t>
  </si>
  <si>
    <r>
      <rPr>
        <b/>
        <sz val="14"/>
        <color theme="1"/>
        <rFont val="Calibri"/>
        <family val="2"/>
        <scheme val="minor"/>
      </rPr>
      <t>Justificativa 01:</t>
    </r>
    <r>
      <rPr>
        <sz val="14"/>
        <color theme="1"/>
        <rFont val="Calibri"/>
        <family val="2"/>
        <scheme val="minor"/>
      </rPr>
      <t xml:space="preserve"> Para Execução das despesas foi utilizado para Execução o período de 01/01/2021 a 31/05/2021 e o projetado 01/06/2021 a 30/06/2021.</t>
    </r>
  </si>
  <si>
    <r>
      <t xml:space="preserve">Justificativa 02: </t>
    </r>
    <r>
      <rPr>
        <sz val="14"/>
        <color theme="1"/>
        <rFont val="Calibri"/>
        <family val="2"/>
        <scheme val="minor"/>
      </rPr>
      <t xml:space="preserve">Para as receitas foi utilizado o período de Execução de </t>
    </r>
    <r>
      <rPr>
        <b/>
        <sz val="14"/>
        <color theme="1"/>
        <rFont val="Calibri"/>
        <family val="2"/>
        <scheme val="minor"/>
      </rPr>
      <t>01/01/2021 a 19/05/2021</t>
    </r>
    <r>
      <rPr>
        <sz val="14"/>
        <color theme="1"/>
        <rFont val="Calibri"/>
        <family val="2"/>
        <scheme val="minor"/>
      </rPr>
      <t xml:space="preserve"> (Conforme data de corte das projeções) e para o projetado foi considerado o período de </t>
    </r>
    <r>
      <rPr>
        <b/>
        <sz val="14"/>
        <color theme="1"/>
        <rFont val="Calibri"/>
        <family val="2"/>
        <scheme val="minor"/>
      </rPr>
      <t>20/05/2021 a 31/12/2021</t>
    </r>
    <r>
      <rPr>
        <sz val="14"/>
        <color theme="1"/>
        <rFont val="Calibri"/>
        <family val="2"/>
        <scheme val="minor"/>
      </rPr>
      <t xml:space="preserve">.                                                                                                                                 </t>
    </r>
    <r>
      <rPr>
        <b/>
        <sz val="14"/>
        <color theme="1"/>
        <rFont val="Calibri"/>
        <family val="2"/>
        <scheme val="minor"/>
      </rPr>
      <t xml:space="preserve">                                                                                                                                                                                                                                                                                          Justificativa 03: </t>
    </r>
    <r>
      <rPr>
        <sz val="14"/>
        <color theme="1"/>
        <rFont val="Calibri"/>
        <family val="2"/>
        <scheme val="minor"/>
      </rPr>
      <t xml:space="preserve">O valor de </t>
    </r>
    <r>
      <rPr>
        <b/>
        <sz val="14"/>
        <color theme="1"/>
        <rFont val="Calibri"/>
        <family val="2"/>
        <scheme val="minor"/>
      </rPr>
      <t xml:space="preserve">R$ 31.359,40 </t>
    </r>
    <r>
      <rPr>
        <sz val="14"/>
        <color theme="1"/>
        <rFont val="Calibri"/>
        <family val="2"/>
        <scheme val="minor"/>
      </rPr>
      <t>é composto por R$ 20.382,94 de Tarifas Bancárias a receber e R$ 10.976,46 do Encontro de Contas- CSC- TAQ e 0800.</t>
    </r>
  </si>
  <si>
    <r>
      <rPr>
        <b/>
        <sz val="14"/>
        <color theme="1"/>
        <rFont val="Calibri"/>
        <family val="2"/>
        <scheme val="minor"/>
      </rPr>
      <t xml:space="preserve">Justificativa 04- </t>
    </r>
    <r>
      <rPr>
        <sz val="14"/>
        <color theme="1"/>
        <rFont val="Calibri"/>
        <family val="2"/>
        <scheme val="minor"/>
      </rPr>
      <t xml:space="preserve">O valor de R$ 981.248,02 corresponde as despesas com: Auxílio Alimentação (R$ 407.524,47) Plano de Saúde (R$ 543.729,34) Auxílio Creche (R$ 19.431,28) Vale Transporte (R$ 10.562,93). Não foi realizado o desmembramento em rescisões uma vez que não a separação no Siscont e as verbas são pagas nas mesmas rubricas da Folha de Pagamento.                                                                                                                                                                                                                                                                                                                                                                                                                                                                                         </t>
    </r>
  </si>
  <si>
    <t>Manter e Desenvolver as Atividades do Escritório Descentralizado Zona da Mata e Vertentes</t>
  </si>
  <si>
    <t>NOVO</t>
  </si>
  <si>
    <t>EXECUÇÃO SISCONT</t>
  </si>
  <si>
    <t>UF</t>
  </si>
  <si>
    <t>Fundo de Apoio</t>
  </si>
  <si>
    <t>CSC</t>
  </si>
  <si>
    <t>SISCAF</t>
  </si>
  <si>
    <t>Ressarcimento</t>
  </si>
  <si>
    <t>Informações para os Indicadores</t>
  </si>
  <si>
    <t>PF</t>
  </si>
  <si>
    <t>PJ</t>
  </si>
  <si>
    <t>RRT</t>
  </si>
  <si>
    <t>Taxas</t>
  </si>
  <si>
    <t>Reprogramação 
2021</t>
  </si>
  <si>
    <t>Encontro de Contas</t>
  </si>
  <si>
    <t>Superávit financiero
apurado em 2020</t>
  </si>
  <si>
    <t>Fontes de Receitas Correntes (80%)</t>
  </si>
  <si>
    <t>MG</t>
  </si>
  <si>
    <t>Demais valores a checar</t>
  </si>
  <si>
    <t>Exercício</t>
  </si>
  <si>
    <t>Exercícios Anteriores</t>
  </si>
  <si>
    <t>Reprogramação</t>
  </si>
  <si>
    <t>Aporte ao
Fundo de Apoio</t>
  </si>
  <si>
    <t>Utilização com Plenárias Ampliadas</t>
  </si>
  <si>
    <t>Repasse do Fundo de Apoio</t>
  </si>
  <si>
    <t>Fiscalização</t>
  </si>
  <si>
    <t>Atendimento</t>
  </si>
  <si>
    <t>Manutenção</t>
  </si>
  <si>
    <t>Taxas Bancárias
(Outras Receitas)</t>
  </si>
  <si>
    <t>Quantitativo</t>
  </si>
  <si>
    <t>Inadimplência</t>
  </si>
  <si>
    <t>CSC - Fiscalização</t>
  </si>
  <si>
    <t>AC</t>
  </si>
  <si>
    <t>CSC - Atendimento</t>
  </si>
  <si>
    <t>AL</t>
  </si>
  <si>
    <t>CSC - SISCAF</t>
  </si>
  <si>
    <t>AM</t>
  </si>
  <si>
    <t>Fundo de Apoio - APORTE</t>
  </si>
  <si>
    <t>AP</t>
  </si>
  <si>
    <t>Fundo de Apoio - Plenárias Ampliadas</t>
  </si>
  <si>
    <t>BA</t>
  </si>
  <si>
    <t>CE</t>
  </si>
  <si>
    <t>Superávit Financeiro 2020</t>
  </si>
  <si>
    <t>DF</t>
  </si>
  <si>
    <t>ES</t>
  </si>
  <si>
    <t>Quantidades e Inadimplência</t>
  </si>
  <si>
    <t>GO</t>
  </si>
  <si>
    <t>PF - Quantidade</t>
  </si>
  <si>
    <t>MA</t>
  </si>
  <si>
    <t>PF - Inadimplência</t>
  </si>
  <si>
    <t>PJ - Quantidade</t>
  </si>
  <si>
    <t>MS</t>
  </si>
  <si>
    <t>PJ - Inadimplência</t>
  </si>
  <si>
    <t>MT</t>
  </si>
  <si>
    <t>RRT - Quantidade</t>
  </si>
  <si>
    <t>PA</t>
  </si>
  <si>
    <t>PB</t>
  </si>
  <si>
    <t>PI</t>
  </si>
  <si>
    <t>PR</t>
  </si>
  <si>
    <t>RJ</t>
  </si>
  <si>
    <t>RN</t>
  </si>
  <si>
    <t>RO</t>
  </si>
  <si>
    <t>RR</t>
  </si>
  <si>
    <t>RS</t>
  </si>
  <si>
    <t>SC</t>
  </si>
  <si>
    <t>SE</t>
  </si>
  <si>
    <t>SP</t>
  </si>
  <si>
    <t>TO</t>
  </si>
  <si>
    <t>vai aparecer em algum UF uma diferença de até R$ 0,02 devido ao arredondamento no valor do Teleatendimento</t>
  </si>
  <si>
    <t>População segundo IBGE</t>
  </si>
  <si>
    <t>Justificativa 03: O valor de R$ 31.359,40 é composto por R$ 20.382,94 de Tarifas Bancárias a receber e R$ 10.976,46 do Encontro de Contas- CSC- TAQ e 0800.</t>
  </si>
  <si>
    <r>
      <t xml:space="preserve">número de municípios  da UF que possuem  Plano Diretor </t>
    </r>
    <r>
      <rPr>
        <b/>
        <sz val="16"/>
        <color rgb="FFFF0000"/>
        <rFont val="Calibri"/>
        <family val="2"/>
        <scheme val="minor"/>
      </rPr>
      <t>(384)</t>
    </r>
  </si>
  <si>
    <r>
      <t>total de municípios da UF (</t>
    </r>
    <r>
      <rPr>
        <b/>
        <sz val="16"/>
        <color rgb="FFFF0000"/>
        <rFont val="Calibri"/>
        <family val="2"/>
        <scheme val="minor"/>
      </rPr>
      <t>853)</t>
    </r>
  </si>
  <si>
    <r>
      <t xml:space="preserve">quantidade de ações de fiscalização realizadas pelo CAU/UF no mês </t>
    </r>
    <r>
      <rPr>
        <b/>
        <sz val="16"/>
        <color rgb="FFFF0000"/>
        <rFont val="Calibri"/>
        <family val="2"/>
        <scheme val="minor"/>
      </rPr>
      <t>(696)</t>
    </r>
  </si>
  <si>
    <r>
      <t xml:space="preserve">número de ações de fiscalização previstas no Plano de Ação aprovado </t>
    </r>
    <r>
      <rPr>
        <b/>
        <sz val="16"/>
        <color rgb="FFFF0000"/>
        <rFont val="Calibri"/>
        <family val="2"/>
        <scheme val="minor"/>
      </rPr>
      <t>(1400)</t>
    </r>
  </si>
  <si>
    <r>
      <t xml:space="preserve">quantidade de obras e serviços regulares </t>
    </r>
    <r>
      <rPr>
        <b/>
        <sz val="16"/>
        <color rgb="FFFF0000"/>
        <rFont val="Calibri"/>
        <family val="2"/>
        <scheme val="minor"/>
      </rPr>
      <t>(14)</t>
    </r>
  </si>
  <si>
    <r>
      <t xml:space="preserve">quantidade de obras e serviços fiscalizados pelo CAU/UF </t>
    </r>
    <r>
      <rPr>
        <b/>
        <sz val="16"/>
        <color rgb="FFFF0000"/>
        <rFont val="Calibri"/>
        <family val="2"/>
        <scheme val="minor"/>
      </rPr>
      <t>(696)</t>
    </r>
  </si>
  <si>
    <r>
      <t xml:space="preserve"> total de profissionais ativos</t>
    </r>
    <r>
      <rPr>
        <b/>
        <sz val="16"/>
        <color rgb="FFFF0000"/>
        <rFont val="Calibri"/>
        <family val="2"/>
        <scheme val="minor"/>
      </rPr>
      <t xml:space="preserve"> (16700)</t>
    </r>
  </si>
  <si>
    <r>
      <t>quantidade de denúncias atendidas</t>
    </r>
    <r>
      <rPr>
        <b/>
        <sz val="16"/>
        <color rgb="FFFF0000"/>
        <rFont val="Calibri"/>
        <family val="2"/>
        <scheme val="minor"/>
      </rPr>
      <t xml:space="preserve"> (180)</t>
    </r>
  </si>
  <si>
    <r>
      <t xml:space="preserve">número de denúncias recebidas </t>
    </r>
    <r>
      <rPr>
        <b/>
        <sz val="16"/>
        <color rgb="FFFF0000"/>
        <rFont val="Calibri"/>
        <family val="2"/>
        <scheme val="minor"/>
      </rPr>
      <t>(355)</t>
    </r>
  </si>
  <si>
    <r>
      <t xml:space="preserve">número de processos de fiscalização concluídos no semestre </t>
    </r>
    <r>
      <rPr>
        <b/>
        <sz val="16"/>
        <color rgb="FFFF0000"/>
        <rFont val="Calibri"/>
        <family val="2"/>
        <scheme val="minor"/>
      </rPr>
      <t>(280)</t>
    </r>
  </si>
  <si>
    <r>
      <t xml:space="preserve"> número total de processos de fiscalização em aberto no ano </t>
    </r>
    <r>
      <rPr>
        <b/>
        <sz val="16"/>
        <color rgb="FFFF0000"/>
        <rFont val="Calibri"/>
        <family val="2"/>
        <scheme val="minor"/>
      </rPr>
      <t>(1400)</t>
    </r>
  </si>
  <si>
    <r>
      <t xml:space="preserve">quantidade de termos de cooperação técnica e parcerias para racionalização da ações de fiscalização </t>
    </r>
    <r>
      <rPr>
        <b/>
        <sz val="16"/>
        <color rgb="FFFF0000"/>
        <rFont val="Calibri"/>
        <family val="2"/>
        <scheme val="minor"/>
      </rPr>
      <t>(13)</t>
    </r>
  </si>
  <si>
    <r>
      <t xml:space="preserve">número de termos e parcerias previstos no Plano de Ação </t>
    </r>
    <r>
      <rPr>
        <b/>
        <sz val="16"/>
        <color rgb="FFFF0000"/>
        <rFont val="Calibri"/>
        <family val="2"/>
        <scheme val="minor"/>
      </rPr>
      <t>(15)</t>
    </r>
  </si>
  <si>
    <r>
      <t xml:space="preserve">quantidade mensal de ações de fiscalização realizada </t>
    </r>
    <r>
      <rPr>
        <b/>
        <sz val="16"/>
        <color rgb="FFFF0000"/>
        <rFont val="Calibri"/>
        <family val="2"/>
        <scheme val="minor"/>
      </rPr>
      <t>(696)</t>
    </r>
  </si>
  <si>
    <r>
      <t xml:space="preserve">número de horas de fiscalização mensal </t>
    </r>
    <r>
      <rPr>
        <b/>
        <sz val="16"/>
        <color rgb="FFFF0000"/>
        <rFont val="Calibri"/>
        <family val="2"/>
        <scheme val="minor"/>
      </rPr>
      <t>(4440)</t>
    </r>
  </si>
  <si>
    <r>
      <t xml:space="preserve">quantidade obras e serviços com RRT </t>
    </r>
    <r>
      <rPr>
        <b/>
        <sz val="16"/>
        <color rgb="FFFF0000"/>
        <rFont val="Calibri"/>
        <family val="2"/>
        <scheme val="minor"/>
      </rPr>
      <t>(01)</t>
    </r>
  </si>
  <si>
    <r>
      <t xml:space="preserve">quantidade de obras e serviços regularizados </t>
    </r>
    <r>
      <rPr>
        <b/>
        <sz val="16"/>
        <color rgb="FFFF0000"/>
        <rFont val="Calibri"/>
        <family val="2"/>
        <scheme val="minor"/>
      </rPr>
      <t>(04)</t>
    </r>
  </si>
  <si>
    <r>
      <t xml:space="preserve">quantidade de obras e serviços fiscalizados pelo CAU/UF </t>
    </r>
    <r>
      <rPr>
        <b/>
        <sz val="16"/>
        <color rgb="FFFF0000"/>
        <rFont val="Calibri"/>
        <family val="2"/>
        <scheme val="minor"/>
      </rPr>
      <t>(37)</t>
    </r>
  </si>
  <si>
    <r>
      <t xml:space="preserve">quantidade de obras e serviços regularizados com RRT </t>
    </r>
    <r>
      <rPr>
        <b/>
        <sz val="16"/>
        <color rgb="FFFF0000"/>
        <rFont val="Calibri"/>
        <family val="2"/>
        <scheme val="minor"/>
      </rPr>
      <t>(03)</t>
    </r>
  </si>
  <si>
    <r>
      <t xml:space="preserve">quantidade obras e serviços regularizados </t>
    </r>
    <r>
      <rPr>
        <b/>
        <sz val="16"/>
        <color rgb="FFFF0000"/>
        <rFont val="Calibri"/>
        <family val="2"/>
        <scheme val="minor"/>
      </rPr>
      <t>(04)</t>
    </r>
  </si>
  <si>
    <r>
      <t>Número de solicitações tratadas no prazo estipulado pela Carta de Serviços no trimestre</t>
    </r>
    <r>
      <rPr>
        <b/>
        <sz val="16"/>
        <color rgb="FFFF0000"/>
        <rFont val="Calibri"/>
        <family val="2"/>
        <scheme val="minor"/>
      </rPr>
      <t xml:space="preserve"> (23865)</t>
    </r>
  </si>
  <si>
    <r>
      <t xml:space="preserve">Número de solicitações abertas no trimestre </t>
    </r>
    <r>
      <rPr>
        <b/>
        <sz val="16"/>
        <color rgb="FFFF0000"/>
        <rFont val="Calibri"/>
        <family val="2"/>
        <scheme val="minor"/>
      </rPr>
      <t>(23865)</t>
    </r>
  </si>
  <si>
    <r>
      <t xml:space="preserve">número de usuários satisfeitos com a solução da demanda </t>
    </r>
    <r>
      <rPr>
        <b/>
        <sz val="16"/>
        <color rgb="FFFF0000"/>
        <rFont val="Calibri"/>
        <family val="2"/>
        <scheme val="minor"/>
      </rPr>
      <t>(1754)</t>
    </r>
  </si>
  <si>
    <r>
      <t xml:space="preserve">número de usuários que responderam a pesquisa </t>
    </r>
    <r>
      <rPr>
        <b/>
        <sz val="16"/>
        <color rgb="FFFF0000"/>
        <rFont val="Calibri"/>
        <family val="2"/>
        <scheme val="minor"/>
      </rPr>
      <t>(1950)</t>
    </r>
  </si>
  <si>
    <r>
      <t xml:space="preserve">valor orçamentário investido (executado) em patrocínios no ano </t>
    </r>
    <r>
      <rPr>
        <b/>
        <sz val="16"/>
        <color rgb="FFFF0000"/>
        <rFont val="Calibri"/>
        <family val="2"/>
        <scheme val="minor"/>
      </rPr>
      <t>(R$ 571.012)</t>
    </r>
  </si>
  <si>
    <r>
      <t xml:space="preserve">valor orçamentário destinado (orçado) em patrocínios no ano </t>
    </r>
    <r>
      <rPr>
        <b/>
        <sz val="16"/>
        <color rgb="FFFF0000"/>
        <rFont val="Calibri"/>
        <family val="2"/>
        <scheme val="minor"/>
      </rPr>
      <t>(R$ 722.800)</t>
    </r>
  </si>
  <si>
    <r>
      <t xml:space="preserve">Quantidade de participantes presentes </t>
    </r>
    <r>
      <rPr>
        <b/>
        <sz val="16"/>
        <color rgb="FFFF0000"/>
        <rFont val="Calibri"/>
        <family val="2"/>
        <scheme val="minor"/>
      </rPr>
      <t>(4100)</t>
    </r>
  </si>
  <si>
    <r>
      <t xml:space="preserve">quantidade de participantes previstas no Plano de Ação Aprovado </t>
    </r>
    <r>
      <rPr>
        <b/>
        <sz val="16"/>
        <color rgb="FFFF0000"/>
        <rFont val="Calibri"/>
        <family val="2"/>
        <scheme val="minor"/>
      </rPr>
      <t>(4100)</t>
    </r>
  </si>
  <si>
    <r>
      <t xml:space="preserve">custos totais dos eventos </t>
    </r>
    <r>
      <rPr>
        <b/>
        <sz val="16"/>
        <color rgb="FFFF0000"/>
        <rFont val="Calibri"/>
        <family val="2"/>
        <scheme val="minor"/>
      </rPr>
      <t>(R$ 33.685,45)</t>
    </r>
  </si>
  <si>
    <r>
      <t xml:space="preserve">quantidade de participantes presentes </t>
    </r>
    <r>
      <rPr>
        <b/>
        <sz val="16"/>
        <color rgb="FFFF0000"/>
        <rFont val="Calibri"/>
        <family val="2"/>
        <scheme val="minor"/>
      </rPr>
      <t>(4100)</t>
    </r>
  </si>
  <si>
    <r>
      <t xml:space="preserve">quantidade de material informativo produzido </t>
    </r>
    <r>
      <rPr>
        <b/>
        <sz val="16"/>
        <color rgb="FFFF0000"/>
        <rFont val="Calibri"/>
        <family val="2"/>
        <scheme val="minor"/>
      </rPr>
      <t>(264)</t>
    </r>
  </si>
  <si>
    <r>
      <t xml:space="preserve">número de municípios da UF que passaram a aplicar a Lei de Assistência Técnica </t>
    </r>
    <r>
      <rPr>
        <b/>
        <sz val="16"/>
        <color rgb="FFFF0000"/>
        <rFont val="Calibri"/>
        <family val="2"/>
        <scheme val="minor"/>
      </rPr>
      <t>(554)</t>
    </r>
  </si>
  <si>
    <r>
      <t xml:space="preserve">total de municípios da UF </t>
    </r>
    <r>
      <rPr>
        <b/>
        <sz val="16"/>
        <color rgb="FFFF0000"/>
        <rFont val="Calibri"/>
        <family val="2"/>
        <scheme val="minor"/>
      </rPr>
      <t>(853)</t>
    </r>
  </si>
  <si>
    <r>
      <t xml:space="preserve">número de ações com participação do CAU/UF </t>
    </r>
    <r>
      <rPr>
        <b/>
        <sz val="16"/>
        <color rgb="FFFF0000"/>
        <rFont val="Calibri"/>
        <family val="2"/>
        <scheme val="minor"/>
      </rPr>
      <t>(256)</t>
    </r>
  </si>
  <si>
    <r>
      <t xml:space="preserve">total de RRT na UF </t>
    </r>
    <r>
      <rPr>
        <b/>
        <sz val="16"/>
        <color rgb="FFFF0000"/>
        <rFont val="Calibri"/>
        <family val="2"/>
        <scheme val="minor"/>
      </rPr>
      <t>(43.700)</t>
    </r>
  </si>
  <si>
    <r>
      <t xml:space="preserve">população total da UF/1000 habitantes </t>
    </r>
    <r>
      <rPr>
        <b/>
        <sz val="16"/>
        <color rgb="FFFF0000"/>
        <rFont val="Calibri"/>
        <family val="2"/>
        <scheme val="minor"/>
      </rPr>
      <t>(21.293)</t>
    </r>
  </si>
  <si>
    <r>
      <t xml:space="preserve">RRT mínima </t>
    </r>
    <r>
      <rPr>
        <b/>
        <sz val="16"/>
        <color rgb="FFFF0000"/>
        <rFont val="Calibri"/>
        <family val="2"/>
        <scheme val="minor"/>
      </rPr>
      <t>(1300)</t>
    </r>
  </si>
  <si>
    <r>
      <t xml:space="preserve">total de RRT na UF </t>
    </r>
    <r>
      <rPr>
        <b/>
        <sz val="16"/>
        <color rgb="FFFF0000"/>
        <rFont val="Calibri"/>
        <family val="2"/>
        <scheme val="minor"/>
      </rPr>
      <t>(43700)</t>
    </r>
  </si>
  <si>
    <r>
      <t xml:space="preserve">RRT Social </t>
    </r>
    <r>
      <rPr>
        <b/>
        <sz val="16"/>
        <color rgb="FFFF0000"/>
        <rFont val="Calibri"/>
        <family val="2"/>
        <scheme val="minor"/>
      </rPr>
      <t>(0)</t>
    </r>
  </si>
  <si>
    <r>
      <t xml:space="preserve">receita corrente </t>
    </r>
    <r>
      <rPr>
        <b/>
        <sz val="16"/>
        <color rgb="FFFF0000"/>
        <rFont val="Calibri"/>
        <family val="2"/>
        <scheme val="minor"/>
      </rPr>
      <t>(R$ 10.610.152,68)</t>
    </r>
  </si>
  <si>
    <r>
      <t xml:space="preserve">total de profissionais ativos </t>
    </r>
    <r>
      <rPr>
        <b/>
        <sz val="16"/>
        <color rgb="FFFF0000"/>
        <rFont val="Calibri"/>
        <family val="2"/>
        <scheme val="minor"/>
      </rPr>
      <t>(16.767)</t>
    </r>
  </si>
  <si>
    <r>
      <t xml:space="preserve">custo total de pessoal </t>
    </r>
    <r>
      <rPr>
        <b/>
        <sz val="16"/>
        <color rgb="FFFF0000"/>
        <rFont val="Calibri"/>
        <family val="2"/>
        <scheme val="minor"/>
      </rPr>
      <t>(R$ 5.729.599,94)</t>
    </r>
  </si>
  <si>
    <r>
      <t xml:space="preserve">ativo circulante </t>
    </r>
    <r>
      <rPr>
        <b/>
        <sz val="16"/>
        <color rgb="FFFF0000"/>
        <rFont val="Calibri"/>
        <family val="2"/>
        <scheme val="minor"/>
      </rPr>
      <t>(R$ 17.473.487,79)</t>
    </r>
  </si>
  <si>
    <r>
      <t xml:space="preserve">passivo circulante </t>
    </r>
    <r>
      <rPr>
        <b/>
        <sz val="16"/>
        <color rgb="FFFF0000"/>
        <rFont val="Calibri"/>
        <family val="2"/>
        <scheme val="minor"/>
      </rPr>
      <t>(R$ 923.243,80)</t>
    </r>
  </si>
  <si>
    <r>
      <t xml:space="preserve">total de profissionais inadimplentes </t>
    </r>
    <r>
      <rPr>
        <b/>
        <sz val="16"/>
        <color rgb="FFFF0000"/>
        <rFont val="Calibri"/>
        <family val="2"/>
        <scheme val="minor"/>
      </rPr>
      <t>(4.235)</t>
    </r>
  </si>
  <si>
    <r>
      <t xml:space="preserve">potenciais pagantes </t>
    </r>
    <r>
      <rPr>
        <b/>
        <sz val="16"/>
        <color rgb="FFFF0000"/>
        <rFont val="Calibri"/>
        <family val="2"/>
        <scheme val="minor"/>
      </rPr>
      <t>(16.171)</t>
    </r>
  </si>
  <si>
    <r>
      <t xml:space="preserve">total de empresas inadimplentes </t>
    </r>
    <r>
      <rPr>
        <b/>
        <sz val="16"/>
        <color rgb="FFFF0000"/>
        <rFont val="Calibri"/>
        <family val="2"/>
        <scheme val="minor"/>
      </rPr>
      <t>(708)</t>
    </r>
  </si>
  <si>
    <r>
      <t>total de empresas ativas</t>
    </r>
    <r>
      <rPr>
        <b/>
        <sz val="16"/>
        <color rgb="FFFF0000"/>
        <rFont val="Calibri"/>
        <family val="2"/>
        <scheme val="minor"/>
      </rPr>
      <t xml:space="preserve"> (1781)</t>
    </r>
  </si>
  <si>
    <r>
      <t xml:space="preserve">número de processos mapeados </t>
    </r>
    <r>
      <rPr>
        <b/>
        <sz val="16"/>
        <color rgb="FFFF0000"/>
        <rFont val="Calibri"/>
        <family val="2"/>
        <scheme val="minor"/>
      </rPr>
      <t>(62)</t>
    </r>
  </si>
  <si>
    <r>
      <t xml:space="preserve">total de processos existentes </t>
    </r>
    <r>
      <rPr>
        <b/>
        <sz val="16"/>
        <color rgb="FFFF0000"/>
        <rFont val="Calibri"/>
        <family val="2"/>
        <scheme val="minor"/>
      </rPr>
      <t>(67)</t>
    </r>
  </si>
  <si>
    <r>
      <t xml:space="preserve">número de processos normatizados </t>
    </r>
    <r>
      <rPr>
        <b/>
        <sz val="16"/>
        <color rgb="FFFF0000"/>
        <rFont val="Calibri"/>
        <family val="2"/>
        <scheme val="minor"/>
      </rPr>
      <t>(30)</t>
    </r>
  </si>
  <si>
    <r>
      <t xml:space="preserve">número de processos automatizados </t>
    </r>
    <r>
      <rPr>
        <b/>
        <sz val="16"/>
        <color rgb="FFFF0000"/>
        <rFont val="Calibri"/>
        <family val="2"/>
        <scheme val="minor"/>
      </rPr>
      <t>(03)</t>
    </r>
  </si>
  <si>
    <r>
      <t>horas totais de treinamento</t>
    </r>
    <r>
      <rPr>
        <b/>
        <sz val="16"/>
        <color rgb="FFFF0000"/>
        <rFont val="Calibri"/>
        <family val="2"/>
        <scheme val="minor"/>
      </rPr>
      <t xml:space="preserve"> (173)</t>
    </r>
  </si>
  <si>
    <r>
      <t xml:space="preserve">número total de colaboradores e dirigentes </t>
    </r>
    <r>
      <rPr>
        <b/>
        <sz val="16"/>
        <color rgb="FFFF0000"/>
        <rFont val="Calibri"/>
        <family val="2"/>
        <scheme val="minor"/>
      </rPr>
      <t>(43)</t>
    </r>
  </si>
  <si>
    <r>
      <t>total de iniciativas executadas</t>
    </r>
    <r>
      <rPr>
        <b/>
        <sz val="16"/>
        <rFont val="Calibri"/>
        <family val="2"/>
        <scheme val="minor"/>
      </rPr>
      <t xml:space="preserve"> </t>
    </r>
    <r>
      <rPr>
        <b/>
        <sz val="16"/>
        <color rgb="FFFF0000"/>
        <rFont val="Calibri"/>
        <family val="2"/>
        <scheme val="minor"/>
      </rPr>
      <t xml:space="preserve">(170)   </t>
    </r>
    <r>
      <rPr>
        <b/>
        <sz val="16"/>
        <rFont val="Calibri"/>
        <family val="2"/>
        <scheme val="minor"/>
      </rPr>
      <t xml:space="preserve">                                                                   </t>
    </r>
  </si>
  <si>
    <r>
      <t xml:space="preserve">total de iniciativas planejadas </t>
    </r>
    <r>
      <rPr>
        <b/>
        <sz val="16"/>
        <color rgb="FFFF0000"/>
        <rFont val="Calibri"/>
        <family val="2"/>
        <scheme val="minor"/>
      </rPr>
      <t xml:space="preserve">(282)  </t>
    </r>
    <r>
      <rPr>
        <b/>
        <sz val="16"/>
        <rFont val="Calibri"/>
        <family val="2"/>
        <scheme val="minor"/>
      </rPr>
      <t xml:space="preserve">                                                                                </t>
    </r>
  </si>
  <si>
    <r>
      <t xml:space="preserve">número de usuários internos satisfeitos com a tecnologia </t>
    </r>
    <r>
      <rPr>
        <b/>
        <sz val="16"/>
        <color rgb="FFFF0000"/>
        <rFont val="Calibri"/>
        <family val="2"/>
        <scheme val="minor"/>
      </rPr>
      <t>(34)</t>
    </r>
  </si>
  <si>
    <r>
      <t xml:space="preserve">total de usuários internos que participaram da pesquisa </t>
    </r>
    <r>
      <rPr>
        <b/>
        <sz val="16"/>
        <color rgb="FFFF0000"/>
        <rFont val="Calibri"/>
        <family val="2"/>
        <scheme val="minor"/>
      </rPr>
      <t>(43)</t>
    </r>
  </si>
  <si>
    <r>
      <t xml:space="preserve">número de usuários externos satisfeitos com a tecnologia </t>
    </r>
    <r>
      <rPr>
        <b/>
        <sz val="16"/>
        <color rgb="FFFF0000"/>
        <rFont val="Calibri"/>
        <family val="2"/>
        <scheme val="minor"/>
      </rPr>
      <t>(1365)</t>
    </r>
  </si>
  <si>
    <r>
      <t xml:space="preserve">total de usuários externos que participaram da pesquisa </t>
    </r>
    <r>
      <rPr>
        <b/>
        <sz val="16"/>
        <color rgb="FFFF0000"/>
        <rFont val="Calibri"/>
        <family val="2"/>
        <scheme val="minor"/>
      </rPr>
      <t>(1950)</t>
    </r>
  </si>
  <si>
    <t>Dados extraídos das Diretrizes</t>
  </si>
  <si>
    <t>56243  RRT conforme Reprogramação 2021</t>
  </si>
  <si>
    <r>
      <t xml:space="preserve">número total de RRT registrados (pagos) por mês </t>
    </r>
    <r>
      <rPr>
        <b/>
        <sz val="16"/>
        <color rgb="FFFF0000"/>
        <rFont val="Calibri"/>
        <family val="2"/>
        <scheme val="minor"/>
      </rPr>
      <t xml:space="preserve">(3642) </t>
    </r>
  </si>
  <si>
    <r>
      <t xml:space="preserve">número de pessoas atingida pelo material produzido e distribuído </t>
    </r>
    <r>
      <rPr>
        <b/>
        <sz val="16"/>
        <color rgb="FFFF0000"/>
        <rFont val="Calibri"/>
        <family val="2"/>
        <scheme val="minor"/>
      </rPr>
      <t>(264)</t>
    </r>
  </si>
  <si>
    <t>MANTER EM 0,22</t>
  </si>
  <si>
    <t>MANTER EM 2,05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</si>
</sst>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1" formatCode="_-* #,##0_-;\-* #,##0_-;_-* &quot;-&quot;_-;_-@_-"/>
    <numFmt numFmtId="44" formatCode="_-&quot;R$&quot;\ * #,##0.00_-;\-&quot;R$&quot;\ * #,##0.00_-;_-&quot;R$&quot;\ * &quot;-&quot;??_-;_-@_-"/>
    <numFmt numFmtId="43" formatCode="_-* #,##0.00_-;\-* #,##0.00_-;_-* &quot;-&quot;??_-;_-@_-"/>
    <numFmt numFmtId="164" formatCode="_(* #,##0.00_);_(* \(#,##0.00\);_(* &quot;-&quot;??_);_(@_)"/>
    <numFmt numFmtId="165" formatCode="0.0"/>
    <numFmt numFmtId="166" formatCode="#,##0.0"/>
    <numFmt numFmtId="167" formatCode="0.0%"/>
    <numFmt numFmtId="168" formatCode="_-* #,##0_-;\-* #,##0_-;_-* &quot;-&quot;??_-;_-@_-"/>
    <numFmt numFmtId="169" formatCode="_(* #,##0_);_(* \(#,##0\);_(* &quot;-&quot;??_);_(@_)"/>
    <numFmt numFmtId="170" formatCode="_(* #,##0.0_);_(* \(#,##0.0\);_(* &quot;-&quot;??_);_(@_)"/>
    <numFmt numFmtId="171" formatCode="_-* #,##0.0_-;\-* #,##0.0_-;_-* &quot;-&quot;_-;_-@_-"/>
    <numFmt numFmtId="172" formatCode="_-* #,##0.00_-;\-* #,##0.00_-;_-* &quot;-&quot;_-;_-@_-"/>
    <numFmt numFmtId="173" formatCode="0.000"/>
    <numFmt numFmtId="174" formatCode="_-* #,##0.0000_-;\-* #,##0.0000_-;_-* &quot;-&quot;????_-;_-@_-"/>
  </numFmts>
  <fonts count="108" x14ac:knownFonts="1">
    <font>
      <sz val="11"/>
      <color theme="1"/>
      <name val="Calibri"/>
      <family val="2"/>
      <scheme val="minor"/>
    </font>
    <font>
      <sz val="12"/>
      <color indexed="81"/>
      <name val="Tahoma"/>
      <family val="2"/>
    </font>
    <font>
      <sz val="11"/>
      <color theme="1"/>
      <name val="Calibri"/>
      <family val="2"/>
      <scheme val="minor"/>
    </font>
    <font>
      <b/>
      <sz val="11"/>
      <color theme="1"/>
      <name val="Calibri"/>
      <family val="2"/>
      <scheme val="minor"/>
    </font>
    <font>
      <b/>
      <sz val="12"/>
      <color theme="1"/>
      <name val="Calibri"/>
      <family val="2"/>
      <scheme val="minor"/>
    </font>
    <font>
      <sz val="12"/>
      <color theme="1"/>
      <name val="Calibri"/>
      <family val="2"/>
      <scheme val="minor"/>
    </font>
    <font>
      <b/>
      <sz val="12"/>
      <name val="Calibri"/>
      <family val="2"/>
      <scheme val="minor"/>
    </font>
    <font>
      <sz val="20"/>
      <color theme="1"/>
      <name val="Calibri"/>
      <family val="2"/>
      <scheme val="minor"/>
    </font>
    <font>
      <b/>
      <sz val="14"/>
      <color theme="1"/>
      <name val="Calibri"/>
      <family val="2"/>
      <scheme val="minor"/>
    </font>
    <font>
      <sz val="11"/>
      <color rgb="FF006100"/>
      <name val="Calibri"/>
      <family val="2"/>
      <scheme val="minor"/>
    </font>
    <font>
      <sz val="11"/>
      <color rgb="FF9C6500"/>
      <name val="Calibri"/>
      <family val="2"/>
      <scheme val="minor"/>
    </font>
    <font>
      <sz val="14"/>
      <color theme="1"/>
      <name val="Calibri"/>
      <family val="2"/>
      <scheme val="minor"/>
    </font>
    <font>
      <b/>
      <sz val="11"/>
      <color theme="0"/>
      <name val="Calibri"/>
      <family val="2"/>
      <scheme val="minor"/>
    </font>
    <font>
      <b/>
      <sz val="16"/>
      <color theme="0"/>
      <name val="Calibri"/>
      <family val="2"/>
      <scheme val="minor"/>
    </font>
    <font>
      <b/>
      <sz val="14"/>
      <color theme="0"/>
      <name val="Calibri"/>
      <family val="2"/>
      <scheme val="minor"/>
    </font>
    <font>
      <b/>
      <sz val="20"/>
      <color theme="1"/>
      <name val="Calibri"/>
      <family val="2"/>
      <scheme val="minor"/>
    </font>
    <font>
      <b/>
      <sz val="20"/>
      <color theme="0" tint="-4.9989318521683403E-2"/>
      <name val="Calibri"/>
      <family val="2"/>
      <scheme val="minor"/>
    </font>
    <font>
      <b/>
      <sz val="20"/>
      <color theme="0"/>
      <name val="Calibri"/>
      <family val="2"/>
      <scheme val="minor"/>
    </font>
    <font>
      <b/>
      <sz val="16"/>
      <name val="Calibri"/>
      <family val="2"/>
      <scheme val="minor"/>
    </font>
    <font>
      <b/>
      <sz val="13"/>
      <name val="Calibri"/>
      <family val="2"/>
      <scheme val="minor"/>
    </font>
    <font>
      <b/>
      <sz val="14"/>
      <name val="Calibri"/>
      <family val="2"/>
      <scheme val="minor"/>
    </font>
    <font>
      <b/>
      <sz val="14"/>
      <color theme="0"/>
      <name val="Arial Narrow"/>
      <family val="2"/>
    </font>
    <font>
      <sz val="16"/>
      <color theme="1"/>
      <name val="Calibri"/>
      <family val="2"/>
      <scheme val="minor"/>
    </font>
    <font>
      <sz val="9"/>
      <color indexed="81"/>
      <name val="Tahoma"/>
      <family val="2"/>
    </font>
    <font>
      <b/>
      <sz val="9"/>
      <color indexed="81"/>
      <name val="Tahoma"/>
      <family val="2"/>
    </font>
    <font>
      <b/>
      <sz val="10"/>
      <color indexed="81"/>
      <name val="Tahoma"/>
      <family val="2"/>
    </font>
    <font>
      <b/>
      <sz val="12"/>
      <color indexed="81"/>
      <name val="Tahoma"/>
      <family val="2"/>
    </font>
    <font>
      <sz val="13"/>
      <color indexed="81"/>
      <name val="Tahoma"/>
      <family val="2"/>
    </font>
    <font>
      <b/>
      <sz val="13"/>
      <color indexed="81"/>
      <name val="Tahoma"/>
      <family val="2"/>
    </font>
    <font>
      <b/>
      <sz val="11"/>
      <color indexed="81"/>
      <name val="Tahoma"/>
      <family val="2"/>
    </font>
    <font>
      <b/>
      <sz val="9"/>
      <color indexed="81"/>
      <name val="Segoe UI"/>
      <family val="2"/>
    </font>
    <font>
      <sz val="9"/>
      <color indexed="81"/>
      <name val="Segoe UI"/>
      <family val="2"/>
    </font>
    <font>
      <sz val="20"/>
      <color theme="1" tint="0.499984740745262"/>
      <name val="Calibri"/>
      <family val="2"/>
      <scheme val="minor"/>
    </font>
    <font>
      <sz val="10"/>
      <color rgb="FF000000"/>
      <name val="Calibri"/>
      <family val="2"/>
    </font>
    <font>
      <sz val="20"/>
      <name val="Calibri"/>
      <family val="2"/>
      <scheme val="minor"/>
    </font>
    <font>
      <b/>
      <sz val="20"/>
      <name val="Calibri"/>
      <family val="2"/>
      <scheme val="minor"/>
    </font>
    <font>
      <b/>
      <sz val="12"/>
      <color rgb="FF000000"/>
      <name val="Calibri"/>
      <family val="2"/>
    </font>
    <font>
      <b/>
      <i/>
      <sz val="11"/>
      <color theme="1"/>
      <name val="Calibri"/>
      <family val="2"/>
      <scheme val="minor"/>
    </font>
    <font>
      <b/>
      <sz val="14"/>
      <color rgb="FFFF0000"/>
      <name val="Calibri"/>
      <family val="2"/>
    </font>
    <font>
      <b/>
      <sz val="14"/>
      <color indexed="21"/>
      <name val="Calibri"/>
      <family val="2"/>
    </font>
    <font>
      <b/>
      <sz val="14"/>
      <color indexed="10"/>
      <name val="Calibri"/>
      <family val="2"/>
    </font>
    <font>
      <b/>
      <sz val="14"/>
      <color indexed="8"/>
      <name val="Calibri"/>
      <family val="2"/>
    </font>
    <font>
      <b/>
      <sz val="14"/>
      <color indexed="57"/>
      <name val="Calibri"/>
      <family val="2"/>
    </font>
    <font>
      <b/>
      <sz val="14"/>
      <color rgb="FF008080"/>
      <name val="Calibri"/>
      <family val="2"/>
      <scheme val="minor"/>
    </font>
    <font>
      <b/>
      <sz val="14"/>
      <color rgb="FF008080"/>
      <name val="Calibri"/>
      <family val="2"/>
    </font>
    <font>
      <sz val="11"/>
      <color theme="0"/>
      <name val="Calibri"/>
      <family val="2"/>
      <scheme val="minor"/>
    </font>
    <font>
      <sz val="18"/>
      <color theme="1"/>
      <name val="Calibri"/>
      <family val="2"/>
      <scheme val="minor"/>
    </font>
    <font>
      <sz val="11"/>
      <color rgb="FF000000"/>
      <name val="Calibri"/>
      <family val="2"/>
      <charset val="1"/>
    </font>
    <font>
      <sz val="12"/>
      <color rgb="FFFF0000"/>
      <name val="Calibri"/>
      <family val="2"/>
      <scheme val="minor"/>
    </font>
    <font>
      <b/>
      <sz val="20"/>
      <color theme="1"/>
      <name val="Arial"/>
      <family val="2"/>
    </font>
    <font>
      <sz val="20"/>
      <color theme="1"/>
      <name val="Arial"/>
      <family val="2"/>
    </font>
    <font>
      <b/>
      <sz val="14"/>
      <color rgb="FF009999"/>
      <name val="Calibri"/>
      <family val="2"/>
    </font>
    <font>
      <b/>
      <sz val="10"/>
      <color theme="1"/>
      <name val="Calibri"/>
      <family val="2"/>
      <scheme val="minor"/>
    </font>
    <font>
      <b/>
      <sz val="18"/>
      <name val="Calibri"/>
      <family val="2"/>
    </font>
    <font>
      <b/>
      <sz val="14"/>
      <color indexed="81"/>
      <name val="Tahoma"/>
      <family val="2"/>
    </font>
    <font>
      <sz val="11"/>
      <color rgb="FF000000"/>
      <name val="Calibri"/>
      <family val="2"/>
    </font>
    <font>
      <b/>
      <sz val="18"/>
      <color theme="0"/>
      <name val="Calibri"/>
      <family val="2"/>
      <scheme val="minor"/>
    </font>
    <font>
      <b/>
      <sz val="14"/>
      <color indexed="81"/>
      <name val="Calibri Light"/>
      <family val="2"/>
      <scheme val="major"/>
    </font>
    <font>
      <sz val="15"/>
      <color theme="1" tint="0.499984740745262"/>
      <name val="Calibri"/>
      <family val="2"/>
      <scheme val="minor"/>
    </font>
    <font>
      <sz val="50"/>
      <color theme="1"/>
      <name val="Calibri"/>
      <family val="2"/>
      <scheme val="minor"/>
    </font>
    <font>
      <b/>
      <sz val="18"/>
      <color indexed="81"/>
      <name val="Segoe UI"/>
      <family val="2"/>
    </font>
    <font>
      <sz val="18"/>
      <color indexed="81"/>
      <name val="Segoe UI"/>
      <family val="2"/>
    </font>
    <font>
      <b/>
      <sz val="14"/>
      <color indexed="81"/>
      <name val="Segoe UI"/>
      <family val="2"/>
    </font>
    <font>
      <b/>
      <sz val="20"/>
      <color indexed="81"/>
      <name val="Segoe UI"/>
      <family val="2"/>
    </font>
    <font>
      <b/>
      <sz val="16"/>
      <color rgb="FFFF0000"/>
      <name val="Calibri"/>
      <family val="2"/>
      <scheme val="minor"/>
    </font>
    <font>
      <sz val="22"/>
      <color theme="1"/>
      <name val="Calibri"/>
      <family val="2"/>
      <scheme val="minor"/>
    </font>
    <font>
      <b/>
      <sz val="16"/>
      <color theme="1"/>
      <name val="Calibri"/>
      <family val="2"/>
      <scheme val="minor"/>
    </font>
    <font>
      <sz val="8"/>
      <name val="Calibri"/>
      <family val="2"/>
      <scheme val="minor"/>
    </font>
    <font>
      <sz val="11"/>
      <color rgb="FFFF0000"/>
      <name val="Calibri"/>
      <family val="2"/>
      <scheme val="minor"/>
    </font>
    <font>
      <u/>
      <sz val="11"/>
      <color theme="10"/>
      <name val="Calibri"/>
      <family val="2"/>
      <scheme val="minor"/>
    </font>
    <font>
      <b/>
      <i/>
      <sz val="14"/>
      <color theme="1"/>
      <name val="Calibri"/>
      <family val="2"/>
      <scheme val="minor"/>
    </font>
    <font>
      <b/>
      <sz val="11"/>
      <color rgb="FFFF0000"/>
      <name val="Calibri"/>
      <family val="2"/>
      <scheme val="minor"/>
    </font>
    <font>
      <b/>
      <sz val="15"/>
      <color indexed="81"/>
      <name val="Segoe UI"/>
      <family val="2"/>
    </font>
    <font>
      <b/>
      <sz val="22"/>
      <color theme="1"/>
      <name val="Calibri"/>
      <family val="2"/>
      <scheme val="minor"/>
    </font>
    <font>
      <sz val="18"/>
      <color indexed="81"/>
      <name val="Tahoma"/>
      <family val="2"/>
    </font>
    <font>
      <b/>
      <sz val="13"/>
      <color indexed="8"/>
      <name val="Tahoma"/>
      <family val="2"/>
    </font>
    <font>
      <b/>
      <sz val="15"/>
      <color indexed="81"/>
      <name val="Tahoma"/>
      <family val="2"/>
    </font>
    <font>
      <b/>
      <sz val="12"/>
      <color theme="1"/>
      <name val="Calibri"/>
      <family val="2"/>
    </font>
    <font>
      <b/>
      <sz val="20"/>
      <color rgb="FFFFFFFF"/>
      <name val="Calibri"/>
      <family val="2"/>
    </font>
    <font>
      <b/>
      <sz val="14"/>
      <color rgb="FFFFFFFF"/>
      <name val="Calibri"/>
      <family val="2"/>
    </font>
    <font>
      <b/>
      <sz val="14"/>
      <name val="Calibri"/>
      <family val="2"/>
    </font>
    <font>
      <b/>
      <sz val="14"/>
      <color rgb="FF000000"/>
      <name val="Calibri"/>
      <family val="2"/>
    </font>
    <font>
      <sz val="20"/>
      <color rgb="FF006100"/>
      <name val="Calibri"/>
      <family val="2"/>
      <scheme val="minor"/>
    </font>
    <font>
      <b/>
      <sz val="20"/>
      <color theme="0"/>
      <name val="Arial Narrow"/>
      <family val="2"/>
    </font>
    <font>
      <sz val="20"/>
      <color rgb="FF000000"/>
      <name val="Calibri"/>
      <family val="2"/>
      <scheme val="minor"/>
    </font>
    <font>
      <b/>
      <sz val="20"/>
      <name val="Arial Narrow"/>
      <family val="2"/>
    </font>
    <font>
      <sz val="20"/>
      <color theme="1"/>
      <name val="Arial Narrow"/>
      <family val="2"/>
    </font>
    <font>
      <sz val="20"/>
      <color theme="0"/>
      <name val="Calibri"/>
      <family val="2"/>
      <scheme val="minor"/>
    </font>
    <font>
      <b/>
      <sz val="20"/>
      <color theme="1"/>
      <name val="Arial Narrow"/>
      <family val="2"/>
    </font>
    <font>
      <b/>
      <sz val="22"/>
      <color theme="0"/>
      <name val="Calibri"/>
      <family val="2"/>
    </font>
    <font>
      <b/>
      <sz val="22"/>
      <name val="Calibri"/>
      <family val="2"/>
    </font>
    <font>
      <b/>
      <sz val="16"/>
      <color theme="0"/>
      <name val="Tahoma"/>
      <family val="2"/>
    </font>
    <font>
      <sz val="20"/>
      <color theme="1"/>
      <name val="Calibri"/>
      <family val="2"/>
    </font>
    <font>
      <b/>
      <sz val="20"/>
      <color theme="1"/>
      <name val="Calibri"/>
      <family val="2"/>
    </font>
    <font>
      <b/>
      <i/>
      <sz val="20"/>
      <color theme="1"/>
      <name val="Calibri"/>
      <family val="2"/>
      <scheme val="minor"/>
    </font>
    <font>
      <b/>
      <sz val="22"/>
      <name val="Calibri"/>
      <family val="2"/>
      <scheme val="minor"/>
    </font>
    <font>
      <b/>
      <sz val="22"/>
      <color theme="0" tint="-4.9989318521683403E-2"/>
      <name val="Calibri"/>
      <family val="2"/>
      <scheme val="minor"/>
    </font>
    <font>
      <b/>
      <i/>
      <sz val="20"/>
      <name val="Calibri"/>
      <family val="2"/>
      <scheme val="minor"/>
    </font>
    <font>
      <sz val="20"/>
      <color rgb="FFFF0000"/>
      <name val="Calibri"/>
      <family val="2"/>
      <scheme val="minor"/>
    </font>
    <font>
      <sz val="20"/>
      <color theme="8"/>
      <name val="Calibri"/>
      <family val="2"/>
      <scheme val="minor"/>
    </font>
    <font>
      <sz val="16"/>
      <name val="Calibri"/>
      <family val="2"/>
      <scheme val="minor"/>
    </font>
    <font>
      <sz val="16"/>
      <color rgb="FF2F5597"/>
      <name val="Calibri"/>
      <family val="2"/>
      <scheme val="minor"/>
    </font>
    <font>
      <b/>
      <sz val="12"/>
      <color theme="0"/>
      <name val="Calibri"/>
      <family val="2"/>
      <scheme val="minor"/>
    </font>
    <font>
      <sz val="11"/>
      <name val="Calibri"/>
      <family val="2"/>
      <scheme val="minor"/>
    </font>
    <font>
      <sz val="12"/>
      <name val="Calibri"/>
      <family val="2"/>
      <scheme val="minor"/>
    </font>
    <font>
      <sz val="8"/>
      <color theme="1"/>
      <name val="Calibri"/>
      <family val="2"/>
      <scheme val="minor"/>
    </font>
    <font>
      <sz val="12"/>
      <color rgb="FF000000"/>
      <name val="Arial"/>
      <family val="2"/>
    </font>
    <font>
      <b/>
      <sz val="18"/>
      <color theme="1"/>
      <name val="Calibri"/>
      <family val="2"/>
      <scheme val="minor"/>
    </font>
  </fonts>
  <fills count="28">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rgb="FFC6EFCE"/>
      </patternFill>
    </fill>
    <fill>
      <patternFill patternType="solid">
        <fgColor rgb="FFFFEB9C"/>
      </patternFill>
    </fill>
    <fill>
      <patternFill patternType="solid">
        <fgColor rgb="FF008080"/>
        <bgColor indexed="64"/>
      </patternFill>
    </fill>
    <fill>
      <patternFill patternType="solid">
        <fgColor rgb="FFFFFF00"/>
        <bgColor indexed="64"/>
      </patternFill>
    </fill>
    <fill>
      <patternFill patternType="solid">
        <fgColor theme="2" tint="-9.9978637043366805E-2"/>
        <bgColor indexed="64"/>
      </patternFill>
    </fill>
    <fill>
      <patternFill patternType="solid">
        <fgColor theme="0" tint="-0.14999847407452621"/>
        <bgColor rgb="FF000000"/>
      </patternFill>
    </fill>
    <fill>
      <patternFill patternType="solid">
        <fgColor theme="0"/>
        <bgColor rgb="FFF2F2F2"/>
      </patternFill>
    </fill>
    <fill>
      <patternFill patternType="solid">
        <fgColor rgb="FFFFFADE"/>
        <bgColor indexed="64"/>
      </patternFill>
    </fill>
    <fill>
      <patternFill patternType="solid">
        <fgColor theme="0"/>
        <bgColor rgb="FF000000"/>
      </patternFill>
    </fill>
    <fill>
      <patternFill patternType="solid">
        <fgColor rgb="FFDFF0F0"/>
        <bgColor indexed="64"/>
      </patternFill>
    </fill>
    <fill>
      <patternFill patternType="solid">
        <fgColor theme="9" tint="-0.249977111117893"/>
        <bgColor indexed="64"/>
      </patternFill>
    </fill>
    <fill>
      <patternFill patternType="solid">
        <fgColor rgb="FFFFC000"/>
        <bgColor indexed="64"/>
      </patternFill>
    </fill>
    <fill>
      <patternFill patternType="solid">
        <fgColor rgb="FF2A5664"/>
        <bgColor indexed="64"/>
      </patternFill>
    </fill>
    <fill>
      <patternFill patternType="solid">
        <fgColor rgb="FFE4F0F0"/>
        <bgColor indexed="64"/>
      </patternFill>
    </fill>
    <fill>
      <patternFill patternType="solid">
        <fgColor rgb="FFFFFF00"/>
        <bgColor rgb="FF000000"/>
      </patternFill>
    </fill>
    <fill>
      <patternFill patternType="solid">
        <fgColor rgb="FF5E9AA6"/>
        <bgColor indexed="64"/>
      </patternFill>
    </fill>
    <fill>
      <patternFill patternType="lightGray">
        <bgColor rgb="FF5E9AA6"/>
      </patternFill>
    </fill>
    <fill>
      <patternFill patternType="solid">
        <fgColor rgb="FF2A5664"/>
        <bgColor rgb="FF000000"/>
      </patternFill>
    </fill>
    <fill>
      <patternFill patternType="solid">
        <fgColor theme="5" tint="0.59999389629810485"/>
        <bgColor indexed="64"/>
      </patternFill>
    </fill>
    <fill>
      <patternFill patternType="solid">
        <fgColor rgb="FF006666"/>
        <bgColor indexed="64"/>
      </patternFill>
    </fill>
    <fill>
      <patternFill patternType="darkGrid">
        <bgColor theme="0"/>
      </patternFill>
    </fill>
    <fill>
      <patternFill patternType="solid">
        <fgColor rgb="FFFF0000"/>
        <bgColor indexed="64"/>
      </patternFill>
    </fill>
  </fills>
  <borders count="5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bottom/>
      <diagonal/>
    </border>
    <border>
      <left/>
      <right style="medium">
        <color rgb="FFFFFFFF"/>
      </right>
      <top/>
      <bottom/>
      <diagonal/>
    </border>
    <border>
      <left style="medium">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theme="0"/>
      </left>
      <right style="medium">
        <color theme="0"/>
      </right>
      <top style="medium">
        <color theme="0"/>
      </top>
      <bottom style="medium">
        <color theme="0"/>
      </bottom>
      <diagonal/>
    </border>
    <border>
      <left style="medium">
        <color theme="0"/>
      </left>
      <right/>
      <top style="medium">
        <color theme="0"/>
      </top>
      <bottom/>
      <diagonal/>
    </border>
    <border>
      <left/>
      <right/>
      <top style="medium">
        <color theme="0"/>
      </top>
      <bottom/>
      <diagonal/>
    </border>
    <border>
      <left/>
      <right style="medium">
        <color theme="0"/>
      </right>
      <top style="medium">
        <color theme="0"/>
      </top>
      <bottom/>
      <diagonal/>
    </border>
    <border>
      <left style="medium">
        <color theme="0"/>
      </left>
      <right/>
      <top/>
      <bottom/>
      <diagonal/>
    </border>
    <border>
      <left style="medium">
        <color theme="0"/>
      </left>
      <right style="medium">
        <color theme="0"/>
      </right>
      <top style="medium">
        <color theme="0"/>
      </top>
      <bottom/>
      <diagonal/>
    </border>
    <border>
      <left style="medium">
        <color theme="0"/>
      </left>
      <right/>
      <top/>
      <bottom style="medium">
        <color theme="0"/>
      </bottom>
      <diagonal/>
    </border>
    <border>
      <left/>
      <right/>
      <top/>
      <bottom style="medium">
        <color theme="0"/>
      </bottom>
      <diagonal/>
    </border>
    <border>
      <left/>
      <right style="medium">
        <color theme="0"/>
      </right>
      <top/>
      <bottom style="medium">
        <color theme="0"/>
      </bottom>
      <diagonal/>
    </border>
    <border>
      <left style="medium">
        <color theme="0"/>
      </left>
      <right/>
      <top style="medium">
        <color theme="0"/>
      </top>
      <bottom style="medium">
        <color theme="0"/>
      </bottom>
      <diagonal/>
    </border>
    <border>
      <left style="medium">
        <color indexed="64"/>
      </left>
      <right style="medium">
        <color indexed="64"/>
      </right>
      <top style="medium">
        <color indexed="64"/>
      </top>
      <bottom style="medium">
        <color indexed="64"/>
      </bottom>
      <diagonal/>
    </border>
    <border>
      <left style="medium">
        <color theme="0"/>
      </left>
      <right style="medium">
        <color theme="0"/>
      </right>
      <top/>
      <bottom style="medium">
        <color theme="0"/>
      </bottom>
      <diagonal/>
    </border>
    <border>
      <left/>
      <right/>
      <top style="medium">
        <color theme="0"/>
      </top>
      <bottom style="medium">
        <color theme="0"/>
      </bottom>
      <diagonal/>
    </border>
    <border>
      <left/>
      <right style="medium">
        <color theme="0"/>
      </right>
      <top style="medium">
        <color theme="0"/>
      </top>
      <bottom style="medium">
        <color theme="0"/>
      </bottom>
      <diagonal/>
    </border>
  </borders>
  <cellStyleXfs count="20">
    <xf numFmtId="0" fontId="0" fillId="0" borderId="0"/>
    <xf numFmtId="0" fontId="9" fillId="6" borderId="0" applyNumberFormat="0" applyBorder="0" applyAlignment="0" applyProtection="0"/>
    <xf numFmtId="0" fontId="10" fillId="7" borderId="0" applyNumberFormat="0" applyBorder="0" applyAlignment="0" applyProtection="0"/>
    <xf numFmtId="9" fontId="2" fillId="0" borderId="0" applyFont="0" applyFill="0" applyBorder="0" applyAlignment="0" applyProtection="0"/>
    <xf numFmtId="164" fontId="2" fillId="0" borderId="0" applyFont="0" applyFill="0" applyBorder="0" applyAlignment="0" applyProtection="0"/>
    <xf numFmtId="0" fontId="47" fillId="0" borderId="0"/>
    <xf numFmtId="44" fontId="2" fillId="0" borderId="0" applyFont="0" applyFill="0" applyBorder="0" applyAlignment="0" applyProtection="0"/>
    <xf numFmtId="43" fontId="2" fillId="0" borderId="0" applyFont="0" applyFill="0" applyBorder="0" applyAlignment="0" applyProtection="0"/>
    <xf numFmtId="0" fontId="55"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47" fillId="0" borderId="0"/>
    <xf numFmtId="0" fontId="2" fillId="0" borderId="0"/>
    <xf numFmtId="0" fontId="69" fillId="0" borderId="0" applyNumberForma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cellStyleXfs>
  <cellXfs count="815">
    <xf numFmtId="0" fontId="0" fillId="0" borderId="0" xfId="0"/>
    <xf numFmtId="0" fontId="0" fillId="0" borderId="0" xfId="0" applyAlignment="1">
      <alignment wrapText="1"/>
    </xf>
    <xf numFmtId="0" fontId="0" fillId="0" borderId="0" xfId="0" applyAlignment="1">
      <alignment vertical="center" wrapText="1"/>
    </xf>
    <xf numFmtId="0" fontId="3" fillId="2" borderId="0" xfId="0" applyFont="1" applyFill="1" applyBorder="1" applyAlignment="1">
      <alignment wrapText="1"/>
    </xf>
    <xf numFmtId="0" fontId="0" fillId="0" borderId="0" xfId="0" applyBorder="1"/>
    <xf numFmtId="0" fontId="3" fillId="5" borderId="0" xfId="0" applyFont="1" applyFill="1"/>
    <xf numFmtId="0" fontId="0" fillId="2" borderId="0" xfId="0" applyFill="1"/>
    <xf numFmtId="0" fontId="0" fillId="2" borderId="0" xfId="0" applyFill="1" applyAlignment="1">
      <alignment wrapText="1"/>
    </xf>
    <xf numFmtId="0" fontId="3" fillId="0" borderId="0" xfId="0" applyFont="1" applyBorder="1" applyAlignment="1">
      <alignment horizontal="center" vertical="center" wrapText="1"/>
    </xf>
    <xf numFmtId="0" fontId="11" fillId="2" borderId="0" xfId="0" applyFont="1" applyFill="1"/>
    <xf numFmtId="0" fontId="11" fillId="2" borderId="0" xfId="0" applyFont="1" applyFill="1" applyAlignment="1">
      <alignment horizontal="center"/>
    </xf>
    <xf numFmtId="0" fontId="5" fillId="2" borderId="0" xfId="0" applyFont="1" applyFill="1"/>
    <xf numFmtId="0" fontId="4" fillId="2" borderId="0" xfId="0" applyFont="1" applyFill="1" applyBorder="1" applyAlignment="1">
      <alignment horizontal="center" vertical="center" wrapText="1" readingOrder="1"/>
    </xf>
    <xf numFmtId="0" fontId="5" fillId="2" borderId="0" xfId="0" applyFont="1" applyFill="1" applyBorder="1"/>
    <xf numFmtId="0" fontId="4" fillId="2" borderId="0" xfId="0" applyFont="1" applyFill="1" applyBorder="1" applyAlignment="1">
      <alignment vertical="center" wrapText="1" readingOrder="1"/>
    </xf>
    <xf numFmtId="0" fontId="5" fillId="2" borderId="0" xfId="0" applyFont="1" applyFill="1" applyAlignment="1">
      <alignment wrapText="1"/>
    </xf>
    <xf numFmtId="0" fontId="7" fillId="0" borderId="0" xfId="0" applyFont="1" applyAlignment="1">
      <alignment wrapText="1"/>
    </xf>
    <xf numFmtId="166" fontId="7" fillId="0" borderId="0" xfId="0" applyNumberFormat="1" applyFont="1" applyAlignment="1">
      <alignment wrapText="1"/>
    </xf>
    <xf numFmtId="0" fontId="3" fillId="2" borderId="0" xfId="0" applyFont="1" applyFill="1"/>
    <xf numFmtId="0" fontId="12" fillId="0" borderId="0" xfId="0" applyFont="1" applyFill="1" applyBorder="1" applyAlignment="1"/>
    <xf numFmtId="0" fontId="3" fillId="0" borderId="0" xfId="0" applyFont="1" applyBorder="1" applyAlignment="1"/>
    <xf numFmtId="0" fontId="18" fillId="2" borderId="0" xfId="0" applyFont="1" applyFill="1" applyBorder="1" applyAlignment="1">
      <alignment horizontal="left" wrapText="1"/>
    </xf>
    <xf numFmtId="0" fontId="22" fillId="2" borderId="1" xfId="0" applyFont="1" applyFill="1" applyBorder="1" applyAlignment="1" applyProtection="1">
      <alignment horizontal="center" vertical="center" wrapText="1"/>
      <protection locked="0"/>
    </xf>
    <xf numFmtId="0" fontId="22" fillId="2" borderId="1" xfId="0" applyFont="1" applyFill="1" applyBorder="1" applyAlignment="1" applyProtection="1">
      <alignment vertical="center" wrapText="1"/>
      <protection locked="0"/>
    </xf>
    <xf numFmtId="165" fontId="4" fillId="3" borderId="1" xfId="0" applyNumberFormat="1" applyFont="1" applyFill="1" applyBorder="1" applyAlignment="1">
      <alignment vertical="center" wrapText="1"/>
    </xf>
    <xf numFmtId="0" fontId="4" fillId="2" borderId="1" xfId="0" applyFont="1" applyFill="1" applyBorder="1" applyAlignment="1">
      <alignment vertical="center" wrapText="1"/>
    </xf>
    <xf numFmtId="41" fontId="4" fillId="2" borderId="1" xfId="0" applyNumberFormat="1" applyFont="1" applyFill="1" applyBorder="1" applyAlignment="1" applyProtection="1">
      <alignment vertical="center"/>
      <protection locked="0"/>
    </xf>
    <xf numFmtId="41" fontId="4" fillId="2" borderId="1" xfId="0" applyNumberFormat="1" applyFont="1" applyFill="1" applyBorder="1" applyAlignment="1">
      <alignment vertical="center" wrapText="1"/>
    </xf>
    <xf numFmtId="165" fontId="4" fillId="2" borderId="1" xfId="0" applyNumberFormat="1" applyFont="1" applyFill="1" applyBorder="1" applyAlignment="1">
      <alignment vertical="center" wrapText="1"/>
    </xf>
    <xf numFmtId="0" fontId="7" fillId="2" borderId="1" xfId="0" applyFont="1" applyFill="1" applyBorder="1" applyAlignment="1" applyProtection="1">
      <alignment vertical="center" wrapText="1"/>
      <protection locked="0"/>
    </xf>
    <xf numFmtId="0" fontId="3" fillId="0" borderId="0" xfId="0" applyFont="1" applyBorder="1" applyAlignment="1">
      <alignment horizontal="center" vertical="center" wrapText="1"/>
    </xf>
    <xf numFmtId="0" fontId="0" fillId="2" borderId="0" xfId="0" applyFill="1" applyAlignment="1">
      <alignment horizontal="center"/>
    </xf>
    <xf numFmtId="169" fontId="22" fillId="2" borderId="1" xfId="4" applyNumberFormat="1" applyFont="1" applyFill="1" applyBorder="1" applyAlignment="1" applyProtection="1">
      <alignment vertical="center" wrapText="1"/>
      <protection locked="0"/>
    </xf>
    <xf numFmtId="169" fontId="13" fillId="8" borderId="11" xfId="4" applyNumberFormat="1" applyFont="1" applyFill="1" applyBorder="1" applyAlignment="1">
      <alignment vertical="center" wrapText="1"/>
    </xf>
    <xf numFmtId="171" fontId="36" fillId="11" borderId="1" xfId="0" applyNumberFormat="1" applyFont="1" applyFill="1" applyBorder="1" applyAlignment="1">
      <alignment vertical="center" wrapText="1"/>
    </xf>
    <xf numFmtId="0" fontId="0" fillId="0" borderId="14" xfId="0" applyBorder="1"/>
    <xf numFmtId="0" fontId="0" fillId="0" borderId="15" xfId="0" applyBorder="1"/>
    <xf numFmtId="0" fontId="0" fillId="0" borderId="16" xfId="0" applyBorder="1"/>
    <xf numFmtId="0" fontId="0" fillId="0" borderId="5" xfId="0" applyBorder="1"/>
    <xf numFmtId="0" fontId="0" fillId="0" borderId="6" xfId="0" applyBorder="1"/>
    <xf numFmtId="41" fontId="4" fillId="5" borderId="1" xfId="0" applyNumberFormat="1" applyFont="1" applyFill="1" applyBorder="1" applyAlignment="1">
      <alignment vertical="center" wrapText="1"/>
    </xf>
    <xf numFmtId="41" fontId="8" fillId="2" borderId="0" xfId="0" applyNumberFormat="1" applyFont="1" applyFill="1" applyBorder="1" applyAlignment="1">
      <alignment horizontal="center" vertical="center" wrapText="1"/>
    </xf>
    <xf numFmtId="170" fontId="8" fillId="3" borderId="1" xfId="4" applyNumberFormat="1" applyFont="1" applyFill="1" applyBorder="1" applyAlignment="1">
      <alignment horizontal="left" vertical="center" wrapText="1"/>
    </xf>
    <xf numFmtId="167" fontId="8" fillId="2" borderId="0" xfId="3" applyNumberFormat="1" applyFont="1" applyFill="1" applyBorder="1" applyAlignment="1">
      <alignment horizontal="left" vertical="center" wrapText="1"/>
    </xf>
    <xf numFmtId="170" fontId="8" fillId="3" borderId="1" xfId="4" applyNumberFormat="1" applyFont="1" applyFill="1" applyBorder="1" applyAlignment="1">
      <alignment horizontal="right" vertical="center" wrapText="1"/>
    </xf>
    <xf numFmtId="164" fontId="8" fillId="2" borderId="0" xfId="4" applyFont="1" applyFill="1" applyBorder="1" applyAlignment="1">
      <alignment horizontal="left" vertical="center" wrapText="1"/>
    </xf>
    <xf numFmtId="168" fontId="8" fillId="2" borderId="0" xfId="4" applyNumberFormat="1" applyFont="1" applyFill="1" applyBorder="1" applyAlignment="1">
      <alignment horizontal="left" vertical="center" wrapText="1"/>
    </xf>
    <xf numFmtId="0" fontId="8" fillId="2" borderId="0" xfId="0" applyFont="1" applyFill="1" applyBorder="1" applyAlignment="1">
      <alignment vertical="center" wrapText="1"/>
    </xf>
    <xf numFmtId="41" fontId="8" fillId="2" borderId="0" xfId="0" applyNumberFormat="1" applyFont="1" applyFill="1" applyBorder="1" applyAlignment="1">
      <alignment horizontal="left" vertical="center" wrapText="1"/>
    </xf>
    <xf numFmtId="0" fontId="8" fillId="2" borderId="0" xfId="0" applyFont="1" applyFill="1" applyBorder="1" applyAlignment="1">
      <alignment horizontal="center" vertical="center" textRotation="90"/>
    </xf>
    <xf numFmtId="0" fontId="8" fillId="2" borderId="0" xfId="0" applyFont="1" applyFill="1" applyBorder="1" applyAlignment="1">
      <alignment horizontal="left" vertical="center" wrapText="1"/>
    </xf>
    <xf numFmtId="41" fontId="8" fillId="2" borderId="1" xfId="0" applyNumberFormat="1" applyFont="1" applyFill="1" applyBorder="1" applyAlignment="1">
      <alignment horizontal="center" vertical="center" wrapText="1"/>
    </xf>
    <xf numFmtId="170" fontId="8" fillId="3" borderId="1" xfId="4" applyNumberFormat="1" applyFont="1" applyFill="1" applyBorder="1" applyAlignment="1" applyProtection="1">
      <alignment horizontal="left" vertical="center" wrapText="1"/>
    </xf>
    <xf numFmtId="0" fontId="21" fillId="8" borderId="1" xfId="0" applyFont="1" applyFill="1" applyBorder="1" applyAlignment="1">
      <alignment horizontal="center" vertical="center" wrapText="1"/>
    </xf>
    <xf numFmtId="0" fontId="7" fillId="0" borderId="0" xfId="0" applyFont="1"/>
    <xf numFmtId="0" fontId="7" fillId="0" borderId="0" xfId="0" applyFont="1" applyAlignment="1">
      <alignment vertical="center" wrapText="1"/>
    </xf>
    <xf numFmtId="0" fontId="0" fillId="0" borderId="0" xfId="0" applyFont="1" applyAlignment="1">
      <alignment vertical="center" wrapText="1"/>
    </xf>
    <xf numFmtId="0" fontId="49" fillId="0" borderId="0" xfId="0" applyFont="1"/>
    <xf numFmtId="0" fontId="21" fillId="8" borderId="1" xfId="0" applyFont="1" applyFill="1" applyBorder="1" applyAlignment="1">
      <alignment vertical="center"/>
    </xf>
    <xf numFmtId="0" fontId="46" fillId="15" borderId="1" xfId="0" applyFont="1" applyFill="1" applyBorder="1" applyAlignment="1">
      <alignment horizontal="left" vertical="center" wrapText="1"/>
    </xf>
    <xf numFmtId="0" fontId="46" fillId="13" borderId="1" xfId="0" applyFont="1" applyFill="1" applyBorder="1" applyAlignment="1">
      <alignment horizontal="left" vertical="center" wrapText="1"/>
    </xf>
    <xf numFmtId="0" fontId="0" fillId="0" borderId="0" xfId="0"/>
    <xf numFmtId="0" fontId="21" fillId="8" borderId="32" xfId="0" applyFont="1" applyFill="1" applyBorder="1" applyAlignment="1">
      <alignment vertical="center"/>
    </xf>
    <xf numFmtId="0" fontId="59" fillId="0" borderId="0" xfId="0" applyFont="1"/>
    <xf numFmtId="0" fontId="64" fillId="9" borderId="1" xfId="0" applyFont="1" applyFill="1" applyBorder="1" applyAlignment="1">
      <alignment horizontal="center" vertical="center" wrapText="1"/>
    </xf>
    <xf numFmtId="41" fontId="64" fillId="9" borderId="1" xfId="0" applyNumberFormat="1" applyFont="1" applyFill="1" applyBorder="1" applyAlignment="1">
      <alignment horizontal="center" vertical="center" wrapText="1"/>
    </xf>
    <xf numFmtId="0" fontId="52" fillId="0" borderId="0" xfId="0" applyFont="1" applyFill="1" applyBorder="1" applyAlignment="1">
      <alignment horizontal="left" vertical="top" wrapText="1"/>
    </xf>
    <xf numFmtId="171" fontId="22" fillId="17" borderId="1" xfId="0" applyNumberFormat="1" applyFont="1" applyFill="1" applyBorder="1" applyAlignment="1" applyProtection="1">
      <alignment vertical="center" wrapText="1"/>
      <protection locked="0"/>
    </xf>
    <xf numFmtId="0" fontId="15" fillId="2" borderId="10" xfId="0" applyFont="1" applyFill="1" applyBorder="1" applyAlignment="1">
      <alignment horizontal="left" vertical="center" wrapText="1"/>
    </xf>
    <xf numFmtId="0" fontId="16" fillId="2" borderId="0" xfId="0" applyFont="1" applyFill="1" applyAlignment="1">
      <alignment horizontal="center" vertical="center" wrapText="1"/>
    </xf>
    <xf numFmtId="0" fontId="16" fillId="2" borderId="10" xfId="0" applyFont="1" applyFill="1" applyBorder="1" applyAlignment="1" applyProtection="1">
      <alignment horizontal="left" vertical="center" wrapText="1"/>
      <protection locked="0"/>
    </xf>
    <xf numFmtId="0" fontId="49" fillId="2" borderId="0" xfId="0" applyFont="1" applyFill="1"/>
    <xf numFmtId="0" fontId="7" fillId="2" borderId="0" xfId="0" applyFont="1" applyFill="1" applyAlignment="1">
      <alignment vertical="center" wrapText="1"/>
    </xf>
    <xf numFmtId="0" fontId="52" fillId="0" borderId="27" xfId="0" applyFont="1" applyFill="1" applyBorder="1" applyAlignment="1">
      <alignment horizontal="left" vertical="top" wrapText="1"/>
    </xf>
    <xf numFmtId="0" fontId="68" fillId="0" borderId="0" xfId="0" applyFont="1"/>
    <xf numFmtId="0" fontId="17" fillId="18" borderId="1" xfId="0" applyFont="1" applyFill="1" applyBorder="1" applyAlignment="1">
      <alignment horizontal="center" vertical="center" wrapText="1"/>
    </xf>
    <xf numFmtId="0" fontId="21" fillId="18" borderId="1" xfId="0" applyFont="1" applyFill="1" applyBorder="1" applyAlignment="1">
      <alignment horizontal="left" vertical="center" wrapText="1"/>
    </xf>
    <xf numFmtId="0" fontId="46" fillId="19" borderId="1" xfId="0" applyFont="1" applyFill="1" applyBorder="1" applyAlignment="1">
      <alignment horizontal="left" vertical="center" wrapText="1"/>
    </xf>
    <xf numFmtId="0" fontId="21" fillId="18" borderId="1" xfId="0" applyFont="1" applyFill="1" applyBorder="1" applyAlignment="1">
      <alignment horizontal="left" vertical="center"/>
    </xf>
    <xf numFmtId="0" fontId="14" fillId="18" borderId="1" xfId="0" applyFont="1" applyFill="1" applyBorder="1" applyAlignment="1">
      <alignment horizontal="left" vertical="center" wrapText="1"/>
    </xf>
    <xf numFmtId="165" fontId="14" fillId="18" borderId="1" xfId="0" applyNumberFormat="1" applyFont="1" applyFill="1" applyBorder="1" applyAlignment="1" applyProtection="1">
      <alignment horizontal="center" vertical="center" wrapText="1"/>
    </xf>
    <xf numFmtId="41" fontId="35" fillId="22" borderId="1" xfId="0" applyNumberFormat="1" applyFont="1" applyFill="1" applyBorder="1" applyAlignment="1">
      <alignment vertical="center" wrapText="1"/>
    </xf>
    <xf numFmtId="165" fontId="35" fillId="22" borderId="1" xfId="0" applyNumberFormat="1" applyFont="1" applyFill="1" applyBorder="1" applyAlignment="1">
      <alignment vertical="center" wrapText="1"/>
    </xf>
    <xf numFmtId="0" fontId="8" fillId="0" borderId="18" xfId="0" applyFont="1" applyFill="1" applyBorder="1" applyAlignment="1">
      <alignment horizontal="center" vertical="top" wrapText="1"/>
    </xf>
    <xf numFmtId="0" fontId="78" fillId="23" borderId="1" xfId="0" applyFont="1" applyFill="1" applyBorder="1" applyAlignment="1">
      <alignment vertical="center"/>
    </xf>
    <xf numFmtId="164" fontId="78" fillId="23" borderId="1" xfId="0" applyNumberFormat="1" applyFont="1" applyFill="1" applyBorder="1" applyAlignment="1">
      <alignment vertical="center"/>
    </xf>
    <xf numFmtId="0" fontId="79" fillId="23" borderId="1" xfId="0" applyFont="1" applyFill="1" applyBorder="1" applyAlignment="1">
      <alignment horizontal="center" vertical="center" wrapText="1"/>
    </xf>
    <xf numFmtId="0" fontId="79" fillId="23" borderId="1" xfId="0" applyFont="1" applyFill="1" applyBorder="1" applyAlignment="1">
      <alignment vertical="center" wrapText="1"/>
    </xf>
    <xf numFmtId="169" fontId="81" fillId="3" borderId="1" xfId="4" applyNumberFormat="1" applyFont="1" applyFill="1" applyBorder="1" applyAlignment="1">
      <alignment horizontal="left" vertical="center" wrapText="1"/>
    </xf>
    <xf numFmtId="0" fontId="77" fillId="14" borderId="24" xfId="0" applyFont="1" applyFill="1" applyBorder="1" applyAlignment="1">
      <alignment vertical="center" wrapText="1"/>
    </xf>
    <xf numFmtId="41" fontId="14" fillId="18" borderId="1" xfId="0" applyNumberFormat="1" applyFont="1" applyFill="1" applyBorder="1" applyAlignment="1">
      <alignment horizontal="center" vertical="center" wrapText="1"/>
    </xf>
    <xf numFmtId="170" fontId="14" fillId="18" borderId="1" xfId="4" applyNumberFormat="1" applyFont="1" applyFill="1" applyBorder="1" applyAlignment="1">
      <alignment horizontal="left" vertical="center" wrapText="1"/>
    </xf>
    <xf numFmtId="164" fontId="8" fillId="2" borderId="1" xfId="4" applyNumberFormat="1" applyFont="1" applyFill="1" applyBorder="1" applyAlignment="1">
      <alignment horizontal="right" vertical="center" wrapText="1"/>
    </xf>
    <xf numFmtId="164" fontId="8" fillId="2" borderId="1" xfId="0" applyNumberFormat="1" applyFont="1" applyFill="1" applyBorder="1" applyAlignment="1">
      <alignment horizontal="right" vertical="center" wrapText="1"/>
    </xf>
    <xf numFmtId="41" fontId="8" fillId="19" borderId="1" xfId="0" applyNumberFormat="1" applyFont="1" applyFill="1" applyBorder="1" applyAlignment="1">
      <alignment horizontal="center" vertical="center" wrapText="1"/>
    </xf>
    <xf numFmtId="168" fontId="8" fillId="2" borderId="0" xfId="4" applyNumberFormat="1" applyFont="1" applyFill="1" applyBorder="1" applyAlignment="1">
      <alignment vertical="center" wrapText="1"/>
    </xf>
    <xf numFmtId="168" fontId="8" fillId="2" borderId="33" xfId="4" applyNumberFormat="1" applyFont="1" applyFill="1" applyBorder="1" applyAlignment="1">
      <alignment vertical="center" wrapText="1"/>
    </xf>
    <xf numFmtId="164" fontId="8" fillId="3" borderId="1" xfId="4" applyNumberFormat="1" applyFont="1" applyFill="1" applyBorder="1" applyAlignment="1">
      <alignment horizontal="right" vertical="center" wrapText="1"/>
    </xf>
    <xf numFmtId="164" fontId="8" fillId="3" borderId="1" xfId="0" applyNumberFormat="1" applyFont="1" applyFill="1" applyBorder="1" applyAlignment="1">
      <alignment horizontal="right" vertical="center" wrapText="1"/>
    </xf>
    <xf numFmtId="0" fontId="35" fillId="9" borderId="0" xfId="0" applyFont="1" applyFill="1" applyAlignment="1">
      <alignment vertical="center"/>
    </xf>
    <xf numFmtId="0" fontId="34" fillId="2" borderId="0" xfId="0" applyFont="1" applyFill="1" applyAlignment="1">
      <alignment vertical="center"/>
    </xf>
    <xf numFmtId="0" fontId="34" fillId="2" borderId="0" xfId="1" applyFont="1" applyFill="1" applyAlignment="1">
      <alignment vertical="center"/>
    </xf>
    <xf numFmtId="0" fontId="34" fillId="2" borderId="0" xfId="2" applyFont="1" applyFill="1" applyAlignment="1">
      <alignment vertical="center"/>
    </xf>
    <xf numFmtId="0" fontId="82" fillId="0" borderId="0" xfId="1" applyFont="1" applyFill="1"/>
    <xf numFmtId="0" fontId="7" fillId="0" borderId="0" xfId="0" applyFont="1" applyFill="1"/>
    <xf numFmtId="0" fontId="7" fillId="0" borderId="0" xfId="0" applyFont="1" applyBorder="1"/>
    <xf numFmtId="164" fontId="84" fillId="2" borderId="0" xfId="0" applyNumberFormat="1" applyFont="1" applyFill="1" applyBorder="1" applyAlignment="1">
      <alignment horizontal="right" wrapText="1"/>
    </xf>
    <xf numFmtId="0" fontId="86" fillId="0" borderId="0" xfId="0" applyFont="1" applyAlignment="1">
      <alignment vertical="center"/>
    </xf>
    <xf numFmtId="0" fontId="82" fillId="0" borderId="0" xfId="1" applyFont="1" applyFill="1" applyAlignment="1">
      <alignment vertical="center"/>
    </xf>
    <xf numFmtId="0" fontId="86" fillId="0" borderId="0" xfId="0" applyFont="1" applyFill="1" applyAlignment="1">
      <alignment vertical="center"/>
    </xf>
    <xf numFmtId="0" fontId="83" fillId="18" borderId="1" xfId="0" applyFont="1" applyFill="1" applyBorder="1" applyAlignment="1">
      <alignment horizontal="center" vertical="center" wrapText="1"/>
    </xf>
    <xf numFmtId="0" fontId="84" fillId="3" borderId="1" xfId="0" applyFont="1" applyFill="1" applyBorder="1" applyAlignment="1">
      <alignment horizontal="left" vertical="center" wrapText="1"/>
    </xf>
    <xf numFmtId="0" fontId="84" fillId="3" borderId="1" xfId="0" applyFont="1" applyFill="1" applyBorder="1" applyAlignment="1">
      <alignment horizontal="center" vertical="center" wrapText="1"/>
    </xf>
    <xf numFmtId="0" fontId="7" fillId="3" borderId="1" xfId="0" applyFont="1" applyFill="1" applyBorder="1" applyAlignment="1">
      <alignment horizontal="left" vertical="center" wrapText="1"/>
    </xf>
    <xf numFmtId="164" fontId="84" fillId="3" borderId="1" xfId="4" applyNumberFormat="1" applyFont="1" applyFill="1" applyBorder="1" applyAlignment="1">
      <alignment horizontal="right" vertical="center" wrapText="1"/>
    </xf>
    <xf numFmtId="164" fontId="84" fillId="0" borderId="1" xfId="4" applyNumberFormat="1" applyFont="1" applyFill="1" applyBorder="1" applyAlignment="1">
      <alignment horizontal="right" vertical="center" wrapText="1"/>
    </xf>
    <xf numFmtId="164" fontId="84" fillId="4" borderId="1" xfId="4" applyNumberFormat="1" applyFont="1" applyFill="1" applyBorder="1" applyAlignment="1">
      <alignment horizontal="right" vertical="center" wrapText="1"/>
    </xf>
    <xf numFmtId="170" fontId="84" fillId="4" borderId="1" xfId="4" applyNumberFormat="1" applyFont="1" applyFill="1" applyBorder="1" applyAlignment="1">
      <alignment horizontal="right" vertical="center" wrapText="1"/>
    </xf>
    <xf numFmtId="37" fontId="7" fillId="0" borderId="0" xfId="0" applyNumberFormat="1" applyFont="1" applyAlignment="1">
      <alignment horizontal="center"/>
    </xf>
    <xf numFmtId="164" fontId="87" fillId="18" borderId="1" xfId="4" applyNumberFormat="1" applyFont="1" applyFill="1" applyBorder="1" applyAlignment="1">
      <alignment horizontal="right" vertical="center" wrapText="1"/>
    </xf>
    <xf numFmtId="164" fontId="17" fillId="18" borderId="1" xfId="4" applyNumberFormat="1" applyFont="1" applyFill="1" applyBorder="1" applyAlignment="1">
      <alignment horizontal="right" vertical="center" wrapText="1"/>
    </xf>
    <xf numFmtId="37" fontId="7" fillId="0" borderId="0" xfId="0" applyNumberFormat="1" applyFont="1" applyAlignment="1">
      <alignment horizontal="center" vertical="center"/>
    </xf>
    <xf numFmtId="0" fontId="15" fillId="0" borderId="0" xfId="0" applyFont="1" applyAlignment="1">
      <alignment vertical="center"/>
    </xf>
    <xf numFmtId="170" fontId="17" fillId="18" borderId="1" xfId="4" applyNumberFormat="1" applyFont="1" applyFill="1" applyBorder="1" applyAlignment="1">
      <alignment horizontal="right" vertical="center" wrapText="1"/>
    </xf>
    <xf numFmtId="0" fontId="86" fillId="0" borderId="0" xfId="0" applyFont="1"/>
    <xf numFmtId="0" fontId="32" fillId="0" borderId="0" xfId="0" applyFont="1" applyBorder="1" applyAlignment="1"/>
    <xf numFmtId="0" fontId="32" fillId="0" borderId="0" xfId="0" applyFont="1" applyBorder="1" applyAlignment="1">
      <alignment horizontal="center"/>
    </xf>
    <xf numFmtId="0" fontId="88" fillId="0" borderId="0" xfId="0" applyFont="1"/>
    <xf numFmtId="0" fontId="7" fillId="2" borderId="0" xfId="0" applyFont="1" applyFill="1" applyAlignment="1">
      <alignment wrapText="1"/>
    </xf>
    <xf numFmtId="0" fontId="16" fillId="18" borderId="1" xfId="0" applyFont="1" applyFill="1" applyBorder="1" applyAlignment="1">
      <alignment horizontal="center" vertical="center" wrapText="1"/>
    </xf>
    <xf numFmtId="0" fontId="35" fillId="9" borderId="1" xfId="0" applyFont="1" applyFill="1" applyBorder="1" applyAlignment="1">
      <alignment horizontal="center" vertical="center" wrapText="1"/>
    </xf>
    <xf numFmtId="164" fontId="7" fillId="2" borderId="1" xfId="4" applyNumberFormat="1" applyFont="1" applyFill="1" applyBorder="1" applyAlignment="1" applyProtection="1">
      <alignment vertical="center" wrapText="1"/>
      <protection locked="0"/>
    </xf>
    <xf numFmtId="170" fontId="7" fillId="3" borderId="1" xfId="0" applyNumberFormat="1" applyFont="1" applyFill="1" applyBorder="1" applyAlignment="1">
      <alignment vertical="center" wrapText="1"/>
    </xf>
    <xf numFmtId="164" fontId="7" fillId="2" borderId="1" xfId="0" applyNumberFormat="1" applyFont="1" applyFill="1" applyBorder="1" applyAlignment="1" applyProtection="1">
      <alignment vertical="center" wrapText="1"/>
      <protection locked="0"/>
    </xf>
    <xf numFmtId="0" fontId="83" fillId="2" borderId="0" xfId="0" applyFont="1" applyFill="1" applyAlignment="1">
      <alignment horizontal="center" vertical="center" wrapText="1"/>
    </xf>
    <xf numFmtId="0" fontId="15" fillId="0" borderId="0" xfId="0" applyFont="1" applyAlignment="1">
      <alignment vertical="center" wrapText="1"/>
    </xf>
    <xf numFmtId="167" fontId="7" fillId="0" borderId="0" xfId="3" applyNumberFormat="1" applyFont="1" applyAlignment="1">
      <alignment wrapText="1"/>
    </xf>
    <xf numFmtId="0" fontId="89" fillId="18" borderId="1" xfId="0" applyFont="1" applyFill="1" applyBorder="1" applyAlignment="1">
      <alignment horizontal="center" vertical="center" wrapText="1"/>
    </xf>
    <xf numFmtId="0" fontId="65" fillId="0" borderId="0" xfId="0" applyFont="1"/>
    <xf numFmtId="0" fontId="90" fillId="9" borderId="1" xfId="0" applyFont="1" applyFill="1" applyBorder="1" applyAlignment="1">
      <alignment horizontal="center" vertical="center"/>
    </xf>
    <xf numFmtId="0" fontId="89" fillId="9" borderId="1" xfId="0" applyFont="1" applyFill="1" applyBorder="1" applyAlignment="1">
      <alignment horizontal="center" vertical="center"/>
    </xf>
    <xf numFmtId="0" fontId="65" fillId="19" borderId="1" xfId="0" applyFont="1" applyFill="1" applyBorder="1" applyAlignment="1">
      <alignment horizontal="center" vertical="center"/>
    </xf>
    <xf numFmtId="0" fontId="65" fillId="19" borderId="1" xfId="0" applyFont="1" applyFill="1" applyBorder="1" applyAlignment="1">
      <alignment horizontal="center" vertical="center" wrapText="1"/>
    </xf>
    <xf numFmtId="0" fontId="65" fillId="9" borderId="0" xfId="0" applyFont="1" applyFill="1" applyAlignment="1">
      <alignment horizontal="center" vertical="center" wrapText="1"/>
    </xf>
    <xf numFmtId="0" fontId="65" fillId="13" borderId="1" xfId="0" applyFont="1" applyFill="1" applyBorder="1" applyAlignment="1">
      <alignment horizontal="center" vertical="center"/>
    </xf>
    <xf numFmtId="0" fontId="65" fillId="13" borderId="1" xfId="0" applyFont="1" applyFill="1" applyBorder="1" applyAlignment="1">
      <alignment horizontal="center" vertical="center" wrapText="1"/>
    </xf>
    <xf numFmtId="0" fontId="65" fillId="13" borderId="1" xfId="0" quotePrefix="1" applyFont="1" applyFill="1" applyBorder="1" applyAlignment="1">
      <alignment horizontal="center" vertical="center" wrapText="1"/>
    </xf>
    <xf numFmtId="164" fontId="7" fillId="3" borderId="1" xfId="4" applyNumberFormat="1" applyFont="1" applyFill="1" applyBorder="1" applyAlignment="1" applyProtection="1">
      <alignment vertical="center" wrapText="1"/>
      <protection locked="0"/>
    </xf>
    <xf numFmtId="170" fontId="7" fillId="2" borderId="1" xfId="0" applyNumberFormat="1" applyFont="1" applyFill="1" applyBorder="1" applyAlignment="1" applyProtection="1">
      <alignment vertical="center" wrapText="1"/>
      <protection locked="0"/>
    </xf>
    <xf numFmtId="0" fontId="32" fillId="0" borderId="10" xfId="0" applyFont="1" applyBorder="1" applyAlignment="1">
      <alignment horizontal="center"/>
    </xf>
    <xf numFmtId="0" fontId="16" fillId="18" borderId="10" xfId="0" applyFont="1" applyFill="1" applyBorder="1" applyAlignment="1">
      <alignment horizontal="left" vertical="center" wrapText="1"/>
    </xf>
    <xf numFmtId="0" fontId="16" fillId="18" borderId="3" xfId="0" applyFont="1" applyFill="1" applyBorder="1" applyAlignment="1">
      <alignment horizontal="left" vertical="center" wrapText="1"/>
    </xf>
    <xf numFmtId="0" fontId="7" fillId="5" borderId="13" xfId="0" applyFont="1" applyFill="1" applyBorder="1" applyAlignment="1" applyProtection="1">
      <alignment horizontal="left" wrapText="1"/>
      <protection locked="0"/>
    </xf>
    <xf numFmtId="0" fontId="7" fillId="5" borderId="10" xfId="0" applyFont="1" applyFill="1" applyBorder="1" applyAlignment="1" applyProtection="1">
      <alignment horizontal="left" wrapText="1"/>
      <protection locked="0"/>
    </xf>
    <xf numFmtId="0" fontId="7" fillId="5" borderId="3" xfId="0" applyFont="1" applyFill="1" applyBorder="1" applyAlignment="1" applyProtection="1">
      <alignment horizontal="left" wrapText="1"/>
      <protection locked="0"/>
    </xf>
    <xf numFmtId="0" fontId="16" fillId="18" borderId="1" xfId="0" applyFont="1" applyFill="1" applyBorder="1" applyAlignment="1">
      <alignment horizontal="center" vertical="center" wrapText="1"/>
    </xf>
    <xf numFmtId="0" fontId="17" fillId="18" borderId="10" xfId="0" applyFont="1" applyFill="1" applyBorder="1" applyAlignment="1">
      <alignment horizontal="right" vertical="center" wrapText="1"/>
    </xf>
    <xf numFmtId="164" fontId="80" fillId="3" borderId="1" xfId="0" applyNumberFormat="1" applyFont="1" applyFill="1" applyBorder="1" applyAlignment="1">
      <alignment horizontal="right" vertical="center" wrapText="1"/>
    </xf>
    <xf numFmtId="0" fontId="16" fillId="2" borderId="10" xfId="0" applyFont="1" applyFill="1" applyBorder="1" applyAlignment="1" applyProtection="1">
      <alignment horizontal="left" vertical="center" wrapText="1"/>
      <protection locked="0"/>
    </xf>
    <xf numFmtId="0" fontId="16" fillId="2" borderId="10" xfId="0" applyFont="1" applyFill="1" applyBorder="1" applyAlignment="1" applyProtection="1">
      <alignment horizontal="left" vertical="center" wrapText="1"/>
      <protection locked="0"/>
    </xf>
    <xf numFmtId="0" fontId="16" fillId="18" borderId="1" xfId="0" applyFont="1" applyFill="1" applyBorder="1" applyAlignment="1">
      <alignment horizontal="center" vertical="center" wrapText="1"/>
    </xf>
    <xf numFmtId="0" fontId="17" fillId="18" borderId="10" xfId="0" applyFont="1" applyFill="1" applyBorder="1" applyAlignment="1">
      <alignment horizontal="right" vertical="center" wrapText="1"/>
    </xf>
    <xf numFmtId="0" fontId="32" fillId="0" borderId="10" xfId="0" applyFont="1" applyBorder="1" applyAlignment="1">
      <alignment horizontal="center"/>
    </xf>
    <xf numFmtId="0" fontId="16" fillId="18" borderId="10" xfId="0" applyFont="1" applyFill="1" applyBorder="1" applyAlignment="1">
      <alignment horizontal="left" vertical="center" wrapText="1"/>
    </xf>
    <xf numFmtId="0" fontId="16" fillId="18" borderId="3" xfId="0" applyFont="1" applyFill="1" applyBorder="1" applyAlignment="1">
      <alignment horizontal="left" vertical="center" wrapText="1"/>
    </xf>
    <xf numFmtId="0" fontId="7" fillId="5" borderId="13" xfId="0" applyFont="1" applyFill="1" applyBorder="1" applyAlignment="1" applyProtection="1">
      <alignment horizontal="left" wrapText="1"/>
      <protection locked="0"/>
    </xf>
    <xf numFmtId="0" fontId="7" fillId="5" borderId="10" xfId="0" applyFont="1" applyFill="1" applyBorder="1" applyAlignment="1" applyProtection="1">
      <alignment horizontal="left" wrapText="1"/>
      <protection locked="0"/>
    </xf>
    <xf numFmtId="0" fontId="7" fillId="5" borderId="3" xfId="0" applyFont="1" applyFill="1" applyBorder="1" applyAlignment="1" applyProtection="1">
      <alignment horizontal="left" wrapText="1"/>
      <protection locked="0"/>
    </xf>
    <xf numFmtId="164" fontId="7" fillId="0" borderId="1" xfId="4" applyNumberFormat="1" applyFont="1" applyFill="1" applyBorder="1" applyAlignment="1" applyProtection="1">
      <alignment vertical="center" wrapText="1"/>
      <protection locked="0"/>
    </xf>
    <xf numFmtId="164" fontId="7" fillId="0" borderId="1" xfId="0" applyNumberFormat="1" applyFont="1" applyFill="1" applyBorder="1" applyAlignment="1" applyProtection="1">
      <alignment vertical="center" wrapText="1"/>
      <protection locked="0"/>
    </xf>
    <xf numFmtId="170" fontId="7" fillId="0" borderId="1" xfId="0" applyNumberFormat="1" applyFont="1" applyFill="1" applyBorder="1" applyAlignment="1" applyProtection="1">
      <alignment vertical="center" wrapText="1"/>
      <protection locked="0"/>
    </xf>
    <xf numFmtId="0" fontId="7" fillId="0" borderId="24" xfId="0" applyFont="1" applyFill="1" applyBorder="1" applyAlignment="1">
      <alignment vertical="center" wrapText="1"/>
    </xf>
    <xf numFmtId="0" fontId="34" fillId="0" borderId="1" xfId="0" applyFont="1" applyBorder="1" applyAlignment="1" applyProtection="1">
      <alignment horizontal="left" vertical="center" wrapText="1"/>
      <protection locked="0"/>
    </xf>
    <xf numFmtId="0" fontId="34" fillId="0" borderId="1" xfId="0" applyFont="1" applyBorder="1" applyAlignment="1" applyProtection="1">
      <alignment vertical="center" wrapText="1"/>
      <protection locked="0"/>
    </xf>
    <xf numFmtId="0" fontId="92" fillId="0" borderId="1" xfId="0" applyFont="1" applyBorder="1" applyAlignment="1">
      <alignment vertical="center" wrapText="1"/>
    </xf>
    <xf numFmtId="164" fontId="7" fillId="2" borderId="1" xfId="4" applyFont="1" applyFill="1" applyBorder="1" applyAlignment="1" applyProtection="1">
      <alignment vertical="center" wrapText="1"/>
      <protection locked="0"/>
    </xf>
    <xf numFmtId="164" fontId="7" fillId="2" borderId="1" xfId="4" applyFont="1" applyFill="1" applyBorder="1" applyAlignment="1" applyProtection="1">
      <alignment horizontal="right" vertical="center" wrapText="1"/>
      <protection locked="0"/>
    </xf>
    <xf numFmtId="0" fontId="0" fillId="0" borderId="0" xfId="0" applyBorder="1" applyAlignment="1">
      <alignment horizontal="left" wrapText="1"/>
    </xf>
    <xf numFmtId="0" fontId="7" fillId="0" borderId="1" xfId="0" applyFont="1" applyBorder="1" applyAlignment="1" applyProtection="1">
      <alignment vertical="center" wrapText="1"/>
      <protection locked="0"/>
    </xf>
    <xf numFmtId="0" fontId="16" fillId="18" borderId="1" xfId="0" applyFont="1" applyFill="1" applyBorder="1" applyAlignment="1">
      <alignment horizontal="center" vertical="center" wrapText="1"/>
    </xf>
    <xf numFmtId="0" fontId="16" fillId="18" borderId="10" xfId="0" applyFont="1" applyFill="1" applyBorder="1" applyAlignment="1">
      <alignment horizontal="left" vertical="center" wrapText="1"/>
    </xf>
    <xf numFmtId="0" fontId="16" fillId="18" borderId="3" xfId="0" applyFont="1" applyFill="1" applyBorder="1" applyAlignment="1">
      <alignment horizontal="left" vertical="center" wrapText="1"/>
    </xf>
    <xf numFmtId="0" fontId="7" fillId="5" borderId="13" xfId="0" applyFont="1" applyFill="1" applyBorder="1" applyAlignment="1" applyProtection="1">
      <alignment horizontal="left" wrapText="1"/>
      <protection locked="0"/>
    </xf>
    <xf numFmtId="0" fontId="7" fillId="5" borderId="10" xfId="0" applyFont="1" applyFill="1" applyBorder="1" applyAlignment="1" applyProtection="1">
      <alignment horizontal="left" wrapText="1"/>
      <protection locked="0"/>
    </xf>
    <xf numFmtId="0" fontId="7" fillId="5" borderId="3" xfId="0" applyFont="1" applyFill="1" applyBorder="1" applyAlignment="1" applyProtection="1">
      <alignment horizontal="left" wrapText="1"/>
      <protection locked="0"/>
    </xf>
    <xf numFmtId="0" fontId="16" fillId="2" borderId="10" xfId="0" applyFont="1" applyFill="1" applyBorder="1" applyAlignment="1" applyProtection="1">
      <alignment horizontal="left" vertical="center" wrapText="1"/>
      <protection locked="0"/>
    </xf>
    <xf numFmtId="0" fontId="17" fillId="18" borderId="10" xfId="0" applyFont="1" applyFill="1" applyBorder="1" applyAlignment="1">
      <alignment horizontal="right" vertical="center" wrapText="1"/>
    </xf>
    <xf numFmtId="0" fontId="7" fillId="0" borderId="1" xfId="0" applyFont="1" applyBorder="1" applyAlignment="1" applyProtection="1">
      <alignment horizontal="left" vertical="center" wrapText="1"/>
      <protection locked="0"/>
    </xf>
    <xf numFmtId="0" fontId="7" fillId="2" borderId="1" xfId="0" applyFont="1" applyFill="1" applyBorder="1" applyAlignment="1" applyProtection="1">
      <alignment horizontal="center" vertical="center" wrapText="1"/>
      <protection locked="0"/>
    </xf>
    <xf numFmtId="1" fontId="7" fillId="2" borderId="1" xfId="0" applyNumberFormat="1" applyFont="1" applyFill="1" applyBorder="1" applyAlignment="1" applyProtection="1">
      <alignment horizontal="center" vertical="center" wrapText="1"/>
      <protection locked="0"/>
    </xf>
    <xf numFmtId="9" fontId="7" fillId="2" borderId="1" xfId="0" applyNumberFormat="1" applyFont="1" applyFill="1" applyBorder="1" applyAlignment="1" applyProtection="1">
      <alignment horizontal="center" vertical="center" wrapText="1"/>
      <protection locked="0"/>
    </xf>
    <xf numFmtId="0" fontId="34" fillId="2" borderId="1" xfId="0" applyFont="1" applyFill="1" applyBorder="1" applyAlignment="1" applyProtection="1">
      <alignment vertical="center" wrapText="1"/>
      <protection locked="0"/>
    </xf>
    <xf numFmtId="0" fontId="7" fillId="0" borderId="1" xfId="0" applyFont="1" applyBorder="1" applyAlignment="1">
      <alignment wrapText="1"/>
    </xf>
    <xf numFmtId="0" fontId="46" fillId="2" borderId="12" xfId="0" applyFont="1" applyFill="1" applyBorder="1" applyAlignment="1" applyProtection="1">
      <alignment horizontal="left" vertical="center" wrapText="1"/>
      <protection locked="0"/>
    </xf>
    <xf numFmtId="0" fontId="46" fillId="2" borderId="1" xfId="0" applyFont="1" applyFill="1" applyBorder="1" applyAlignment="1" applyProtection="1">
      <alignment horizontal="center" vertical="center" wrapText="1"/>
      <protection locked="0"/>
    </xf>
    <xf numFmtId="0" fontId="46" fillId="2" borderId="1" xfId="0" applyFont="1" applyFill="1" applyBorder="1" applyAlignment="1" applyProtection="1">
      <alignment vertical="center" wrapText="1"/>
      <protection locked="0"/>
    </xf>
    <xf numFmtId="164" fontId="22" fillId="2" borderId="1" xfId="4" applyNumberFormat="1" applyFont="1" applyFill="1" applyBorder="1" applyAlignment="1" applyProtection="1">
      <alignment vertical="center" wrapText="1"/>
      <protection locked="0"/>
    </xf>
    <xf numFmtId="164" fontId="13" fillId="8" borderId="11" xfId="4" applyNumberFormat="1" applyFont="1" applyFill="1" applyBorder="1" applyAlignment="1">
      <alignment vertical="center" wrapText="1"/>
    </xf>
    <xf numFmtId="172" fontId="4" fillId="3" borderId="1" xfId="0" applyNumberFormat="1" applyFont="1" applyFill="1" applyBorder="1" applyAlignment="1">
      <alignment vertical="center" wrapText="1"/>
    </xf>
    <xf numFmtId="172" fontId="5" fillId="3" borderId="1" xfId="0" applyNumberFormat="1" applyFont="1" applyFill="1" applyBorder="1" applyAlignment="1" applyProtection="1">
      <alignment vertical="center" wrapText="1"/>
      <protection locked="0"/>
    </xf>
    <xf numFmtId="172" fontId="5" fillId="2" borderId="1" xfId="0" applyNumberFormat="1" applyFont="1" applyFill="1" applyBorder="1" applyAlignment="1" applyProtection="1">
      <alignment vertical="center" wrapText="1"/>
      <protection locked="0"/>
    </xf>
    <xf numFmtId="172" fontId="4" fillId="3" borderId="1" xfId="0" applyNumberFormat="1" applyFont="1" applyFill="1" applyBorder="1" applyAlignment="1" applyProtection="1">
      <alignment vertical="center" wrapText="1"/>
      <protection locked="0"/>
    </xf>
    <xf numFmtId="172" fontId="5" fillId="2" borderId="1" xfId="0" applyNumberFormat="1" applyFont="1" applyFill="1" applyBorder="1" applyAlignment="1" applyProtection="1">
      <alignment vertical="center"/>
      <protection locked="0"/>
    </xf>
    <xf numFmtId="172" fontId="4" fillId="2" borderId="1" xfId="0" applyNumberFormat="1" applyFont="1" applyFill="1" applyBorder="1" applyAlignment="1" applyProtection="1">
      <alignment vertical="center"/>
      <protection locked="0"/>
    </xf>
    <xf numFmtId="172" fontId="4" fillId="2" borderId="1" xfId="0" applyNumberFormat="1" applyFont="1" applyFill="1" applyBorder="1" applyAlignment="1" applyProtection="1">
      <alignment vertical="center" wrapText="1"/>
      <protection locked="0"/>
    </xf>
    <xf numFmtId="43" fontId="7" fillId="0" borderId="0" xfId="0" applyNumberFormat="1" applyFont="1" applyAlignment="1">
      <alignment wrapText="1"/>
    </xf>
    <xf numFmtId="0" fontId="32" fillId="0" borderId="10" xfId="0" applyFont="1" applyBorder="1" applyAlignment="1"/>
    <xf numFmtId="164" fontId="99" fillId="2" borderId="1" xfId="4" applyNumberFormat="1" applyFont="1" applyFill="1" applyBorder="1" applyAlignment="1" applyProtection="1">
      <alignment vertical="center" wrapText="1"/>
      <protection locked="0"/>
    </xf>
    <xf numFmtId="164" fontId="99" fillId="0" borderId="1" xfId="4" applyNumberFormat="1" applyFont="1" applyFill="1" applyBorder="1" applyAlignment="1" applyProtection="1">
      <alignment vertical="center" wrapText="1"/>
      <protection locked="0"/>
    </xf>
    <xf numFmtId="0" fontId="7" fillId="0" borderId="1" xfId="0" applyFont="1" applyFill="1" applyBorder="1" applyAlignment="1" applyProtection="1">
      <alignment vertical="center" wrapText="1"/>
      <protection locked="0"/>
    </xf>
    <xf numFmtId="164" fontId="7" fillId="0" borderId="1" xfId="4" applyFont="1" applyFill="1" applyBorder="1" applyAlignment="1" applyProtection="1">
      <alignment vertical="center" wrapText="1"/>
      <protection locked="0"/>
    </xf>
    <xf numFmtId="41" fontId="14" fillId="18" borderId="1" xfId="0" applyNumberFormat="1" applyFont="1" applyFill="1" applyBorder="1" applyAlignment="1">
      <alignment horizontal="center" vertical="center" wrapText="1"/>
    </xf>
    <xf numFmtId="0" fontId="16" fillId="18" borderId="10" xfId="0" applyFont="1" applyFill="1" applyBorder="1" applyAlignment="1">
      <alignment horizontal="left" vertical="center" wrapText="1"/>
    </xf>
    <xf numFmtId="0" fontId="16" fillId="18" borderId="3" xfId="0" applyFont="1" applyFill="1" applyBorder="1" applyAlignment="1">
      <alignment horizontal="left" vertical="center" wrapText="1"/>
    </xf>
    <xf numFmtId="0" fontId="16" fillId="18" borderId="1" xfId="0" applyFont="1" applyFill="1" applyBorder="1" applyAlignment="1">
      <alignment horizontal="center" vertical="center" wrapText="1"/>
    </xf>
    <xf numFmtId="0" fontId="17" fillId="18" borderId="10" xfId="0" applyFont="1" applyFill="1" applyBorder="1" applyAlignment="1">
      <alignment horizontal="right" vertical="center" wrapText="1"/>
    </xf>
    <xf numFmtId="0" fontId="7" fillId="5" borderId="13" xfId="0" applyFont="1" applyFill="1" applyBorder="1" applyAlignment="1" applyProtection="1">
      <alignment horizontal="left" wrapText="1"/>
      <protection locked="0"/>
    </xf>
    <xf numFmtId="0" fontId="7" fillId="5" borderId="10" xfId="0" applyFont="1" applyFill="1" applyBorder="1" applyAlignment="1" applyProtection="1">
      <alignment horizontal="left" wrapText="1"/>
      <protection locked="0"/>
    </xf>
    <xf numFmtId="0" fontId="7" fillId="5" borderId="3" xfId="0" applyFont="1" applyFill="1" applyBorder="1" applyAlignment="1" applyProtection="1">
      <alignment horizontal="left" wrapText="1"/>
      <protection locked="0"/>
    </xf>
    <xf numFmtId="0" fontId="59" fillId="0" borderId="1" xfId="0" applyFont="1" applyBorder="1"/>
    <xf numFmtId="0" fontId="49" fillId="0" borderId="1" xfId="0" applyFont="1" applyBorder="1"/>
    <xf numFmtId="0" fontId="46" fillId="2" borderId="1" xfId="0" applyFont="1" applyFill="1" applyBorder="1" applyAlignment="1" applyProtection="1">
      <alignment horizontal="left" vertical="center" wrapText="1"/>
      <protection locked="0"/>
    </xf>
    <xf numFmtId="0" fontId="7" fillId="0" borderId="0" xfId="0" applyFont="1" applyBorder="1" applyAlignment="1">
      <alignment wrapText="1"/>
    </xf>
    <xf numFmtId="0" fontId="0" fillId="0" borderId="0" xfId="0" applyBorder="1" applyAlignment="1">
      <alignment wrapText="1"/>
    </xf>
    <xf numFmtId="164" fontId="32" fillId="0" borderId="10" xfId="4" applyFont="1" applyBorder="1" applyAlignment="1">
      <alignment horizontal="center"/>
    </xf>
    <xf numFmtId="173" fontId="0" fillId="0" borderId="0" xfId="0" applyNumberFormat="1"/>
    <xf numFmtId="173" fontId="14" fillId="18" borderId="1" xfId="0" applyNumberFormat="1" applyFont="1" applyFill="1" applyBorder="1" applyAlignment="1" applyProtection="1">
      <alignment horizontal="center" vertical="center" wrapText="1"/>
    </xf>
    <xf numFmtId="173" fontId="35" fillId="22" borderId="1" xfId="0" applyNumberFormat="1" applyFont="1" applyFill="1" applyBorder="1" applyAlignment="1">
      <alignment vertical="center" wrapText="1"/>
    </xf>
    <xf numFmtId="173" fontId="8" fillId="0" borderId="18" xfId="0" applyNumberFormat="1" applyFont="1" applyFill="1" applyBorder="1" applyAlignment="1">
      <alignment horizontal="center" vertical="top" wrapText="1"/>
    </xf>
    <xf numFmtId="173" fontId="79" fillId="23" borderId="1" xfId="0" applyNumberFormat="1" applyFont="1" applyFill="1" applyBorder="1" applyAlignment="1">
      <alignment horizontal="center" vertical="center" wrapText="1"/>
    </xf>
    <xf numFmtId="164" fontId="4" fillId="3" borderId="1" xfId="4" applyFont="1" applyFill="1" applyBorder="1" applyAlignment="1">
      <alignment vertical="center" wrapText="1"/>
    </xf>
    <xf numFmtId="164" fontId="4" fillId="3" borderId="1" xfId="4" applyFont="1" applyFill="1" applyBorder="1" applyAlignment="1" applyProtection="1">
      <alignment vertical="center"/>
      <protection locked="0"/>
    </xf>
    <xf numFmtId="164" fontId="5" fillId="2" borderId="1" xfId="4" applyFont="1" applyFill="1" applyBorder="1" applyAlignment="1" applyProtection="1">
      <alignment vertical="center" wrapText="1"/>
      <protection locked="0"/>
    </xf>
    <xf numFmtId="164" fontId="4" fillId="2" borderId="1" xfId="4" applyFont="1" applyFill="1" applyBorder="1" applyAlignment="1">
      <alignment vertical="center" wrapText="1"/>
    </xf>
    <xf numFmtId="164" fontId="5" fillId="3" borderId="1" xfId="4" applyFont="1" applyFill="1" applyBorder="1" applyAlignment="1" applyProtection="1">
      <alignment vertical="center" wrapText="1"/>
      <protection locked="0"/>
    </xf>
    <xf numFmtId="164" fontId="4" fillId="3" borderId="1" xfId="4" applyFont="1" applyFill="1" applyBorder="1" applyAlignment="1" applyProtection="1">
      <alignment vertical="center" wrapText="1"/>
      <protection locked="0"/>
    </xf>
    <xf numFmtId="41" fontId="0" fillId="0" borderId="0" xfId="0" applyNumberFormat="1"/>
    <xf numFmtId="172" fontId="8" fillId="3" borderId="1" xfId="0" applyNumberFormat="1" applyFont="1" applyFill="1" applyBorder="1" applyAlignment="1">
      <alignment horizontal="right" vertical="center" wrapText="1"/>
    </xf>
    <xf numFmtId="172" fontId="8" fillId="10" borderId="1" xfId="0" applyNumberFormat="1" applyFont="1" applyFill="1" applyBorder="1" applyAlignment="1">
      <alignment horizontal="right" vertical="center" wrapText="1"/>
    </xf>
    <xf numFmtId="172" fontId="8" fillId="2" borderId="1" xfId="0" applyNumberFormat="1" applyFont="1" applyFill="1" applyBorder="1" applyAlignment="1">
      <alignment horizontal="left" vertical="center" wrapText="1"/>
    </xf>
    <xf numFmtId="172" fontId="8" fillId="3" borderId="1" xfId="0" applyNumberFormat="1" applyFont="1" applyFill="1" applyBorder="1" applyAlignment="1">
      <alignment horizontal="left" vertical="center" wrapText="1"/>
    </xf>
    <xf numFmtId="0" fontId="7" fillId="0" borderId="1" xfId="0" applyFont="1" applyFill="1" applyBorder="1" applyAlignment="1" applyProtection="1">
      <alignment horizontal="center" vertical="center" wrapText="1"/>
      <protection locked="0"/>
    </xf>
    <xf numFmtId="0" fontId="7" fillId="0" borderId="0" xfId="0" applyFont="1" applyFill="1" applyAlignment="1">
      <alignment wrapText="1"/>
    </xf>
    <xf numFmtId="164" fontId="7" fillId="0" borderId="0" xfId="4" applyFont="1" applyAlignment="1">
      <alignment wrapText="1"/>
    </xf>
    <xf numFmtId="0" fontId="34" fillId="0" borderId="1" xfId="0" applyFont="1" applyFill="1" applyBorder="1" applyAlignment="1" applyProtection="1">
      <alignment horizontal="left" vertical="center" wrapText="1"/>
      <protection locked="0"/>
    </xf>
    <xf numFmtId="43" fontId="0" fillId="0" borderId="0" xfId="0" applyNumberFormat="1" applyAlignment="1">
      <alignment wrapText="1"/>
    </xf>
    <xf numFmtId="10" fontId="0" fillId="0" borderId="0" xfId="3" applyNumberFormat="1" applyFont="1" applyAlignment="1">
      <alignment wrapText="1"/>
    </xf>
    <xf numFmtId="164" fontId="34" fillId="2" borderId="1" xfId="4" applyNumberFormat="1" applyFont="1" applyFill="1" applyBorder="1" applyAlignment="1" applyProtection="1">
      <alignment vertical="center" wrapText="1"/>
      <protection locked="0"/>
    </xf>
    <xf numFmtId="164" fontId="34" fillId="2" borderId="1" xfId="4" applyFont="1" applyFill="1" applyBorder="1" applyAlignment="1" applyProtection="1">
      <alignment vertical="center" wrapText="1"/>
      <protection locked="0"/>
    </xf>
    <xf numFmtId="164" fontId="34" fillId="0" borderId="1" xfId="4" applyNumberFormat="1" applyFont="1" applyFill="1" applyBorder="1" applyAlignment="1" applyProtection="1">
      <alignment vertical="center" wrapText="1"/>
      <protection locked="0"/>
    </xf>
    <xf numFmtId="164" fontId="34" fillId="0" borderId="1" xfId="4" applyFont="1" applyFill="1" applyBorder="1" applyAlignment="1" applyProtection="1">
      <alignment vertical="center" wrapText="1"/>
      <protection locked="0"/>
    </xf>
    <xf numFmtId="43" fontId="32" fillId="0" borderId="10" xfId="0" applyNumberFormat="1" applyFont="1" applyBorder="1" applyAlignment="1">
      <alignment horizontal="center"/>
    </xf>
    <xf numFmtId="9" fontId="7" fillId="0" borderId="1" xfId="0" applyNumberFormat="1" applyFont="1" applyFill="1" applyBorder="1" applyAlignment="1" applyProtection="1">
      <alignment horizontal="center" vertical="center" wrapText="1"/>
      <protection locked="0"/>
    </xf>
    <xf numFmtId="4" fontId="7" fillId="0" borderId="0" xfId="0" applyNumberFormat="1" applyFont="1" applyAlignment="1">
      <alignment wrapText="1"/>
    </xf>
    <xf numFmtId="0" fontId="34" fillId="0" borderId="1" xfId="0" applyFont="1" applyBorder="1" applyAlignment="1" applyProtection="1">
      <alignment horizontal="left" vertical="center"/>
      <protection locked="0"/>
    </xf>
    <xf numFmtId="164" fontId="7" fillId="0" borderId="0" xfId="0" applyNumberFormat="1" applyFont="1" applyAlignment="1">
      <alignment wrapText="1"/>
    </xf>
    <xf numFmtId="164" fontId="15" fillId="2" borderId="10" xfId="0" applyNumberFormat="1" applyFont="1" applyFill="1" applyBorder="1" applyAlignment="1">
      <alignment horizontal="left" vertical="center" wrapText="1"/>
    </xf>
    <xf numFmtId="43" fontId="32" fillId="0" borderId="10" xfId="0" applyNumberFormat="1" applyFont="1" applyBorder="1" applyAlignment="1"/>
    <xf numFmtId="0" fontId="0" fillId="0" borderId="0" xfId="0" applyFill="1" applyAlignment="1">
      <alignment vertical="center" wrapText="1"/>
    </xf>
    <xf numFmtId="0" fontId="46" fillId="0" borderId="1" xfId="0" applyFont="1" applyFill="1" applyBorder="1" applyAlignment="1" applyProtection="1">
      <alignment horizontal="center" vertical="center" wrapText="1"/>
      <protection locked="0"/>
    </xf>
    <xf numFmtId="0" fontId="22" fillId="0" borderId="1" xfId="0" applyFont="1" applyFill="1" applyBorder="1" applyAlignment="1" applyProtection="1">
      <alignment horizontal="center" vertical="center" wrapText="1"/>
      <protection locked="0"/>
    </xf>
    <xf numFmtId="0" fontId="46" fillId="0" borderId="1" xfId="0" applyFont="1" applyFill="1" applyBorder="1" applyAlignment="1" applyProtection="1">
      <alignment horizontal="left" vertical="center" wrapText="1"/>
      <protection locked="0"/>
    </xf>
    <xf numFmtId="0" fontId="22" fillId="0" borderId="1" xfId="0" applyFont="1" applyFill="1" applyBorder="1" applyAlignment="1" applyProtection="1">
      <alignment vertical="center" wrapText="1"/>
      <protection locked="0"/>
    </xf>
    <xf numFmtId="0" fontId="46" fillId="0" borderId="1" xfId="0" applyFont="1" applyFill="1" applyBorder="1" applyAlignment="1" applyProtection="1">
      <alignment vertical="center" wrapText="1"/>
      <protection locked="0"/>
    </xf>
    <xf numFmtId="164" fontId="22" fillId="0" borderId="1" xfId="4" applyNumberFormat="1" applyFont="1" applyFill="1" applyBorder="1" applyAlignment="1" applyProtection="1">
      <alignment vertical="center" wrapText="1"/>
      <protection locked="0"/>
    </xf>
    <xf numFmtId="169" fontId="22" fillId="0" borderId="1" xfId="4" applyNumberFormat="1" applyFont="1" applyFill="1" applyBorder="1" applyAlignment="1" applyProtection="1">
      <alignment vertical="center" wrapText="1"/>
      <protection locked="0"/>
    </xf>
    <xf numFmtId="43" fontId="0" fillId="0" borderId="0" xfId="0" applyNumberFormat="1"/>
    <xf numFmtId="172" fontId="6" fillId="2" borderId="1" xfId="0" applyNumberFormat="1" applyFont="1" applyFill="1" applyBorder="1" applyAlignment="1" applyProtection="1">
      <alignment vertical="center"/>
      <protection locked="0"/>
    </xf>
    <xf numFmtId="172" fontId="6" fillId="2" borderId="1" xfId="0" applyNumberFormat="1" applyFont="1" applyFill="1" applyBorder="1" applyAlignment="1" applyProtection="1">
      <alignment vertical="center" wrapText="1"/>
      <protection locked="0"/>
    </xf>
    <xf numFmtId="0" fontId="7" fillId="2" borderId="10" xfId="0" applyFont="1" applyFill="1" applyBorder="1" applyAlignment="1">
      <alignment horizontal="left" vertical="center" wrapText="1"/>
    </xf>
    <xf numFmtId="43" fontId="7" fillId="2" borderId="10" xfId="0" applyNumberFormat="1" applyFont="1" applyFill="1" applyBorder="1" applyAlignment="1">
      <alignment horizontal="left" vertical="center" wrapText="1"/>
    </xf>
    <xf numFmtId="164" fontId="0" fillId="0" borderId="0" xfId="4" applyFont="1" applyAlignment="1">
      <alignment wrapText="1"/>
    </xf>
    <xf numFmtId="43" fontId="11" fillId="2" borderId="0" xfId="0" applyNumberFormat="1" applyFont="1" applyFill="1"/>
    <xf numFmtId="164" fontId="6" fillId="3" borderId="1" xfId="4" applyFont="1" applyFill="1" applyBorder="1" applyAlignment="1">
      <alignment vertical="center" wrapText="1"/>
    </xf>
    <xf numFmtId="164" fontId="6" fillId="2" borderId="1" xfId="4" applyFont="1" applyFill="1" applyBorder="1" applyAlignment="1" applyProtection="1">
      <alignment vertical="center" wrapText="1"/>
      <protection locked="0"/>
    </xf>
    <xf numFmtId="0" fontId="20" fillId="21" borderId="1" xfId="0" applyFont="1" applyFill="1" applyBorder="1" applyAlignment="1">
      <alignment horizontal="left" vertical="center" wrapText="1"/>
    </xf>
    <xf numFmtId="43" fontId="3" fillId="0" borderId="0" xfId="0" applyNumberFormat="1" applyFont="1" applyAlignment="1">
      <alignment wrapText="1"/>
    </xf>
    <xf numFmtId="164" fontId="65" fillId="0" borderId="0" xfId="0" applyNumberFormat="1" applyFont="1" applyAlignment="1">
      <alignment wrapText="1"/>
    </xf>
    <xf numFmtId="0" fontId="7" fillId="2" borderId="2" xfId="0" applyFont="1" applyFill="1" applyBorder="1" applyAlignment="1" applyProtection="1">
      <alignment horizontal="center" vertical="center" wrapText="1"/>
      <protection locked="0"/>
    </xf>
    <xf numFmtId="164" fontId="7" fillId="2" borderId="2" xfId="4" applyFont="1" applyFill="1" applyBorder="1" applyAlignment="1" applyProtection="1">
      <alignment vertical="center" wrapText="1"/>
      <protection locked="0"/>
    </xf>
    <xf numFmtId="164" fontId="7" fillId="2" borderId="2" xfId="4" applyNumberFormat="1" applyFont="1" applyFill="1" applyBorder="1" applyAlignment="1" applyProtection="1">
      <alignment vertical="center" wrapText="1"/>
      <protection locked="0"/>
    </xf>
    <xf numFmtId="164" fontId="34" fillId="2" borderId="2" xfId="4" applyFont="1" applyFill="1" applyBorder="1" applyAlignment="1" applyProtection="1">
      <alignment vertical="center" wrapText="1"/>
      <protection locked="0"/>
    </xf>
    <xf numFmtId="0" fontId="7" fillId="0" borderId="2" xfId="0" applyFont="1" applyFill="1" applyBorder="1" applyAlignment="1" applyProtection="1">
      <alignment vertical="center" wrapText="1"/>
      <protection locked="0"/>
    </xf>
    <xf numFmtId="172" fontId="0" fillId="0" borderId="0" xfId="0" applyNumberFormat="1"/>
    <xf numFmtId="172" fontId="20" fillId="9" borderId="1" xfId="0" applyNumberFormat="1" applyFont="1" applyFill="1" applyBorder="1" applyAlignment="1" applyProtection="1">
      <alignment horizontal="center" vertical="center" wrapText="1"/>
    </xf>
    <xf numFmtId="172" fontId="35" fillId="22" borderId="1" xfId="0" applyNumberFormat="1" applyFont="1" applyFill="1" applyBorder="1" applyAlignment="1">
      <alignment vertical="center" wrapText="1"/>
    </xf>
    <xf numFmtId="172" fontId="4" fillId="3" borderId="1" xfId="0" applyNumberFormat="1" applyFont="1" applyFill="1" applyBorder="1" applyAlignment="1" applyProtection="1">
      <alignment vertical="center"/>
      <protection locked="0"/>
    </xf>
    <xf numFmtId="172" fontId="4" fillId="2" borderId="1" xfId="0" applyNumberFormat="1" applyFont="1" applyFill="1" applyBorder="1" applyAlignment="1">
      <alignment vertical="center" wrapText="1"/>
    </xf>
    <xf numFmtId="172" fontId="8" fillId="0" borderId="18" xfId="0" applyNumberFormat="1" applyFont="1" applyFill="1" applyBorder="1" applyAlignment="1">
      <alignment horizontal="center" vertical="top" wrapText="1"/>
    </xf>
    <xf numFmtId="172" fontId="79" fillId="23" borderId="1" xfId="0" applyNumberFormat="1" applyFont="1" applyFill="1" applyBorder="1" applyAlignment="1">
      <alignment horizontal="center" vertical="center" wrapText="1"/>
    </xf>
    <xf numFmtId="172" fontId="36" fillId="11" borderId="1" xfId="0" applyNumberFormat="1" applyFont="1" applyFill="1" applyBorder="1" applyAlignment="1">
      <alignment vertical="center" wrapText="1"/>
    </xf>
    <xf numFmtId="172" fontId="78" fillId="23" borderId="1" xfId="0" applyNumberFormat="1" applyFont="1" applyFill="1" applyBorder="1" applyAlignment="1">
      <alignment vertical="center"/>
    </xf>
    <xf numFmtId="172" fontId="80" fillId="3" borderId="1" xfId="0" applyNumberFormat="1" applyFont="1" applyFill="1" applyBorder="1" applyAlignment="1">
      <alignment horizontal="right" vertical="center" wrapText="1"/>
    </xf>
    <xf numFmtId="172" fontId="81" fillId="3" borderId="1" xfId="4" applyNumberFormat="1" applyFont="1" applyFill="1" applyBorder="1" applyAlignment="1">
      <alignment horizontal="right" vertical="center" wrapText="1"/>
    </xf>
    <xf numFmtId="0" fontId="4" fillId="2" borderId="0" xfId="0" applyFont="1" applyFill="1" applyBorder="1" applyAlignment="1">
      <alignment horizontal="center" vertical="center" wrapText="1" readingOrder="1"/>
    </xf>
    <xf numFmtId="164" fontId="22" fillId="3" borderId="1" xfId="4" applyNumberFormat="1" applyFont="1" applyFill="1" applyBorder="1" applyAlignment="1" applyProtection="1">
      <alignment vertical="center" wrapText="1"/>
      <protection locked="0"/>
    </xf>
    <xf numFmtId="10" fontId="8" fillId="3" borderId="1" xfId="3" applyNumberFormat="1" applyFont="1" applyFill="1" applyBorder="1" applyAlignment="1">
      <alignment horizontal="right" vertical="center" wrapText="1"/>
    </xf>
    <xf numFmtId="0" fontId="17" fillId="18" borderId="10" xfId="0" applyFont="1" applyFill="1" applyBorder="1" applyAlignment="1">
      <alignment vertical="center" wrapText="1"/>
    </xf>
    <xf numFmtId="0" fontId="17" fillId="18" borderId="3" xfId="0" applyFont="1" applyFill="1" applyBorder="1" applyAlignment="1">
      <alignment vertical="center" wrapText="1"/>
    </xf>
    <xf numFmtId="0" fontId="11" fillId="0" borderId="0" xfId="0" applyFont="1" applyFill="1"/>
    <xf numFmtId="0" fontId="66" fillId="2" borderId="0" xfId="0" applyFont="1" applyFill="1" applyAlignment="1">
      <alignment vertical="center" wrapText="1"/>
    </xf>
    <xf numFmtId="0" fontId="22" fillId="2" borderId="0" xfId="0" applyFont="1" applyFill="1"/>
    <xf numFmtId="0" fontId="22" fillId="0" borderId="0" xfId="0" applyFont="1"/>
    <xf numFmtId="0" fontId="100" fillId="2" borderId="1" xfId="0" applyFont="1" applyFill="1" applyBorder="1" applyAlignment="1">
      <alignment horizontal="center" vertical="center" wrapText="1"/>
    </xf>
    <xf numFmtId="0" fontId="13" fillId="0" borderId="0" xfId="0" applyFont="1" applyFill="1" applyBorder="1" applyAlignment="1">
      <alignment horizontal="center" vertical="center" wrapText="1"/>
    </xf>
    <xf numFmtId="0" fontId="22" fillId="2" borderId="0" xfId="0" applyFont="1" applyFill="1" applyAlignment="1">
      <alignment horizontal="center"/>
    </xf>
    <xf numFmtId="0" fontId="22" fillId="0" borderId="0" xfId="0" applyFont="1" applyAlignment="1">
      <alignment horizontal="left" vertical="center"/>
    </xf>
    <xf numFmtId="0" fontId="22" fillId="0" borderId="0" xfId="0" applyFont="1" applyAlignment="1">
      <alignment horizontal="center"/>
    </xf>
    <xf numFmtId="0" fontId="22" fillId="0" borderId="0" xfId="0" applyFont="1" applyAlignment="1">
      <alignment wrapText="1"/>
    </xf>
    <xf numFmtId="0" fontId="14" fillId="18" borderId="1" xfId="0" applyFont="1" applyFill="1" applyBorder="1" applyAlignment="1" applyProtection="1">
      <alignment vertical="center"/>
      <protection locked="0"/>
    </xf>
    <xf numFmtId="164" fontId="20" fillId="21" borderId="1" xfId="4" applyFont="1" applyFill="1" applyBorder="1" applyAlignment="1">
      <alignment vertical="center" wrapText="1"/>
    </xf>
    <xf numFmtId="164" fontId="4" fillId="3" borderId="1" xfId="4" applyNumberFormat="1" applyFont="1" applyFill="1" applyBorder="1" applyAlignment="1" applyProtection="1">
      <alignment horizontal="left" vertical="center" wrapText="1"/>
    </xf>
    <xf numFmtId="169" fontId="4" fillId="3" borderId="1" xfId="4" applyNumberFormat="1" applyFont="1" applyFill="1" applyBorder="1" applyAlignment="1" applyProtection="1">
      <alignment horizontal="left" vertical="center" wrapText="1"/>
    </xf>
    <xf numFmtId="164" fontId="102" fillId="18" borderId="1" xfId="4" applyNumberFormat="1" applyFont="1" applyFill="1" applyBorder="1" applyAlignment="1">
      <alignment horizontal="left" vertical="center" wrapText="1"/>
    </xf>
    <xf numFmtId="164" fontId="4" fillId="3" borderId="1" xfId="4" applyNumberFormat="1" applyFont="1" applyFill="1" applyBorder="1" applyAlignment="1">
      <alignment horizontal="left" vertical="center" wrapText="1"/>
    </xf>
    <xf numFmtId="168" fontId="4" fillId="2" borderId="0" xfId="4" applyNumberFormat="1" applyFont="1" applyFill="1" applyBorder="1" applyAlignment="1">
      <alignment horizontal="left" vertical="center" wrapText="1"/>
    </xf>
    <xf numFmtId="41" fontId="102" fillId="18" borderId="1" xfId="0" applyNumberFormat="1" applyFont="1" applyFill="1" applyBorder="1" applyAlignment="1">
      <alignment horizontal="center" vertical="center" wrapText="1"/>
    </xf>
    <xf numFmtId="164" fontId="4" fillId="2" borderId="1" xfId="4" applyNumberFormat="1" applyFont="1" applyFill="1" applyBorder="1" applyAlignment="1">
      <alignment horizontal="right" vertical="center" wrapText="1"/>
    </xf>
    <xf numFmtId="164" fontId="4" fillId="2" borderId="1" xfId="0" applyNumberFormat="1" applyFont="1" applyFill="1" applyBorder="1" applyAlignment="1">
      <alignment horizontal="right" vertical="center" wrapText="1"/>
    </xf>
    <xf numFmtId="167" fontId="4" fillId="3" borderId="1" xfId="4" applyNumberFormat="1" applyFont="1" applyFill="1" applyBorder="1" applyAlignment="1">
      <alignment horizontal="right" vertical="center" wrapText="1"/>
    </xf>
    <xf numFmtId="164" fontId="6" fillId="2" borderId="1" xfId="0" applyNumberFormat="1" applyFont="1" applyFill="1" applyBorder="1" applyAlignment="1">
      <alignment horizontal="right" vertical="center" wrapText="1"/>
    </xf>
    <xf numFmtId="164" fontId="4" fillId="5" borderId="1" xfId="4" applyFont="1" applyFill="1" applyBorder="1" applyAlignment="1">
      <alignment vertical="center" wrapText="1"/>
    </xf>
    <xf numFmtId="164" fontId="78" fillId="23" borderId="1" xfId="4" applyFont="1" applyFill="1" applyBorder="1" applyAlignment="1">
      <alignment vertical="center"/>
    </xf>
    <xf numFmtId="172" fontId="4" fillId="5" borderId="1" xfId="0" applyNumberFormat="1" applyFont="1" applyFill="1" applyBorder="1" applyAlignment="1">
      <alignment vertical="center" wrapText="1"/>
    </xf>
    <xf numFmtId="0" fontId="3" fillId="0" borderId="0" xfId="0" applyFont="1"/>
    <xf numFmtId="0" fontId="46" fillId="0" borderId="12" xfId="0" applyFont="1" applyFill="1" applyBorder="1" applyAlignment="1" applyProtection="1">
      <alignment horizontal="left" vertical="center" wrapText="1"/>
      <protection locked="0"/>
    </xf>
    <xf numFmtId="0" fontId="92" fillId="0" borderId="1" xfId="0" applyFont="1" applyFill="1" applyBorder="1" applyAlignment="1">
      <alignment vertical="center" wrapText="1"/>
    </xf>
    <xf numFmtId="1" fontId="7" fillId="0" borderId="1" xfId="0" applyNumberFormat="1" applyFont="1" applyFill="1" applyBorder="1" applyAlignment="1" applyProtection="1">
      <alignment horizontal="center" vertical="center" wrapText="1"/>
      <protection locked="0"/>
    </xf>
    <xf numFmtId="0" fontId="7" fillId="0" borderId="1" xfId="0" applyFont="1" applyBorder="1" applyAlignment="1">
      <alignment horizontal="center" vertical="center" wrapText="1"/>
    </xf>
    <xf numFmtId="0" fontId="13" fillId="2" borderId="1" xfId="0" applyFont="1" applyFill="1" applyBorder="1" applyAlignment="1">
      <alignment horizontal="left" vertical="center"/>
    </xf>
    <xf numFmtId="0" fontId="22" fillId="2" borderId="1" xfId="0" applyFont="1" applyFill="1" applyBorder="1" applyAlignment="1">
      <alignment wrapText="1"/>
    </xf>
    <xf numFmtId="0" fontId="13" fillId="18" borderId="1" xfId="0" applyFont="1" applyFill="1" applyBorder="1" applyAlignment="1">
      <alignment horizontal="left" vertical="center" wrapText="1"/>
    </xf>
    <xf numFmtId="0" fontId="13" fillId="18" borderId="1" xfId="0" applyFont="1" applyFill="1" applyBorder="1" applyAlignment="1">
      <alignment horizontal="center" vertical="center" wrapText="1"/>
    </xf>
    <xf numFmtId="0" fontId="100" fillId="2" borderId="1" xfId="0" applyFont="1" applyFill="1" applyBorder="1" applyAlignment="1">
      <alignment horizontal="center" wrapText="1"/>
    </xf>
    <xf numFmtId="0" fontId="100" fillId="2" borderId="1" xfId="0" applyFont="1" applyFill="1" applyBorder="1" applyAlignment="1">
      <alignment horizontal="center" vertical="top" wrapText="1"/>
    </xf>
    <xf numFmtId="0" fontId="22" fillId="2" borderId="1" xfId="0" applyFont="1" applyFill="1" applyBorder="1" applyAlignment="1">
      <alignment horizontal="left" vertical="center" wrapText="1"/>
    </xf>
    <xf numFmtId="0" fontId="100" fillId="2" borderId="1" xfId="0" applyFont="1" applyFill="1" applyBorder="1" applyAlignment="1">
      <alignment horizontal="center" vertical="center"/>
    </xf>
    <xf numFmtId="1" fontId="100" fillId="2" borderId="1" xfId="3" applyNumberFormat="1" applyFont="1" applyFill="1" applyBorder="1" applyAlignment="1">
      <alignment horizontal="center" vertical="center"/>
    </xf>
    <xf numFmtId="1" fontId="100" fillId="2" borderId="1" xfId="3" applyNumberFormat="1" applyFont="1" applyFill="1" applyBorder="1" applyAlignment="1">
      <alignment horizontal="center" vertical="center" wrapText="1"/>
    </xf>
    <xf numFmtId="0" fontId="100" fillId="2" borderId="1" xfId="0" applyFont="1" applyFill="1" applyBorder="1" applyAlignment="1">
      <alignment horizontal="left" vertical="center" wrapText="1"/>
    </xf>
    <xf numFmtId="3" fontId="22" fillId="0" borderId="1" xfId="4" applyNumberFormat="1" applyFont="1" applyFill="1" applyBorder="1" applyAlignment="1">
      <alignment horizontal="center" vertical="center" wrapText="1"/>
    </xf>
    <xf numFmtId="0" fontId="100" fillId="12" borderId="1" xfId="5" applyFont="1" applyFill="1" applyBorder="1" applyAlignment="1">
      <alignment horizontal="center" wrapText="1"/>
    </xf>
    <xf numFmtId="0" fontId="100" fillId="12" borderId="1" xfId="5" applyFont="1" applyFill="1" applyBorder="1" applyAlignment="1">
      <alignment horizontal="center" vertical="top" wrapText="1"/>
    </xf>
    <xf numFmtId="0" fontId="100" fillId="2" borderId="1" xfId="5" applyFont="1" applyFill="1" applyBorder="1" applyAlignment="1">
      <alignment horizontal="center" wrapText="1"/>
    </xf>
    <xf numFmtId="0" fontId="100" fillId="2" borderId="1" xfId="5" applyFont="1" applyFill="1" applyBorder="1" applyAlignment="1">
      <alignment horizontal="center" vertical="top" wrapText="1"/>
    </xf>
    <xf numFmtId="0" fontId="22" fillId="0" borderId="1" xfId="0" applyFont="1" applyBorder="1" applyAlignment="1">
      <alignment horizontal="center" vertical="top"/>
    </xf>
    <xf numFmtId="164" fontId="22" fillId="3" borderId="1" xfId="4" applyNumberFormat="1" applyFont="1" applyFill="1" applyBorder="1" applyAlignment="1">
      <alignment vertical="center" wrapText="1"/>
    </xf>
    <xf numFmtId="10" fontId="0" fillId="0" borderId="0" xfId="3" applyNumberFormat="1" applyFont="1" applyAlignment="1">
      <alignment vertical="center" wrapText="1"/>
    </xf>
    <xf numFmtId="0" fontId="3" fillId="0" borderId="0" xfId="0" applyFont="1" applyAlignment="1">
      <alignment vertical="center"/>
    </xf>
    <xf numFmtId="174" fontId="32" fillId="0" borderId="0" xfId="0" applyNumberFormat="1" applyFont="1" applyBorder="1" applyAlignment="1">
      <alignment horizontal="center"/>
    </xf>
    <xf numFmtId="172" fontId="20" fillId="21" borderId="1" xfId="4" applyNumberFormat="1" applyFont="1" applyFill="1" applyBorder="1" applyAlignment="1">
      <alignment vertical="center" wrapText="1"/>
    </xf>
    <xf numFmtId="168" fontId="8" fillId="2" borderId="0" xfId="4" applyNumberFormat="1" applyFont="1" applyFill="1" applyBorder="1" applyAlignment="1">
      <alignment horizontal="left" vertical="center" wrapText="1"/>
    </xf>
    <xf numFmtId="0" fontId="18" fillId="9" borderId="0" xfId="0" applyFont="1" applyFill="1" applyBorder="1" applyAlignment="1">
      <alignment horizontal="left" vertical="center" wrapText="1"/>
    </xf>
    <xf numFmtId="0" fontId="58" fillId="0" borderId="0" xfId="0" applyFont="1" applyBorder="1" applyAlignment="1">
      <alignment horizontal="center"/>
    </xf>
    <xf numFmtId="0" fontId="5" fillId="0" borderId="0" xfId="0" applyFont="1" applyBorder="1" applyAlignment="1">
      <alignment horizontal="center" vertical="center" wrapText="1"/>
    </xf>
    <xf numFmtId="0" fontId="17" fillId="18" borderId="0" xfId="0" applyFont="1" applyFill="1" applyBorder="1" applyAlignment="1">
      <alignment horizontal="center" vertical="center" wrapText="1"/>
    </xf>
    <xf numFmtId="0" fontId="33" fillId="14" borderId="0" xfId="0" applyFont="1" applyFill="1" applyBorder="1" applyAlignment="1">
      <alignment horizontal="left" vertical="top" wrapText="1"/>
    </xf>
    <xf numFmtId="0" fontId="8" fillId="2" borderId="0" xfId="0" applyFont="1" applyFill="1" applyBorder="1" applyAlignment="1">
      <alignment horizontal="center" vertical="center" wrapText="1"/>
    </xf>
    <xf numFmtId="9" fontId="22" fillId="2" borderId="0" xfId="0" applyNumberFormat="1" applyFont="1" applyFill="1"/>
    <xf numFmtId="0" fontId="0" fillId="0" borderId="0" xfId="0" applyAlignment="1">
      <alignment horizontal="center"/>
    </xf>
    <xf numFmtId="10" fontId="22" fillId="2" borderId="0" xfId="0" applyNumberFormat="1" applyFont="1" applyFill="1"/>
    <xf numFmtId="167" fontId="22" fillId="2" borderId="0" xfId="0" applyNumberFormat="1" applyFont="1" applyFill="1"/>
    <xf numFmtId="2" fontId="22" fillId="2" borderId="0" xfId="0" applyNumberFormat="1" applyFont="1" applyFill="1"/>
    <xf numFmtId="1" fontId="22" fillId="2" borderId="0" xfId="0" applyNumberFormat="1" applyFont="1" applyFill="1" applyAlignment="1">
      <alignment horizontal="center"/>
    </xf>
    <xf numFmtId="165" fontId="4" fillId="2" borderId="0" xfId="0" applyNumberFormat="1" applyFont="1" applyFill="1" applyBorder="1" applyAlignment="1">
      <alignment vertical="center" wrapText="1"/>
    </xf>
    <xf numFmtId="0" fontId="19" fillId="2" borderId="0" xfId="0" applyFont="1" applyFill="1" applyBorder="1" applyAlignment="1">
      <alignment horizontal="left" vertical="center" wrapText="1"/>
    </xf>
    <xf numFmtId="0" fontId="14" fillId="2" borderId="0" xfId="0" applyFont="1" applyFill="1" applyBorder="1" applyAlignment="1" applyProtection="1">
      <alignment horizontal="left" vertical="center"/>
      <protection locked="0"/>
    </xf>
    <xf numFmtId="0" fontId="14" fillId="2" borderId="0" xfId="0" applyFont="1" applyFill="1" applyBorder="1" applyAlignment="1">
      <alignment horizontal="center" vertical="center"/>
    </xf>
    <xf numFmtId="165" fontId="14" fillId="2" borderId="0" xfId="0" applyNumberFormat="1" applyFont="1" applyFill="1" applyBorder="1" applyAlignment="1">
      <alignment horizontal="center" vertical="center" wrapText="1"/>
    </xf>
    <xf numFmtId="0" fontId="35" fillId="2" borderId="0" xfId="0" applyFont="1" applyFill="1" applyBorder="1" applyAlignment="1">
      <alignment horizontal="left" vertical="center" wrapText="1"/>
    </xf>
    <xf numFmtId="0" fontId="52" fillId="2" borderId="0" xfId="0" applyFont="1" applyFill="1" applyBorder="1" applyAlignment="1">
      <alignment horizontal="left" vertical="top" wrapText="1"/>
    </xf>
    <xf numFmtId="0" fontId="0" fillId="2" borderId="0" xfId="0" applyFill="1" applyBorder="1"/>
    <xf numFmtId="0" fontId="8" fillId="2" borderId="0" xfId="0" applyFont="1" applyFill="1" applyBorder="1" applyAlignment="1">
      <alignment horizontal="left"/>
    </xf>
    <xf numFmtId="0" fontId="13" fillId="2" borderId="0" xfId="0" applyFont="1" applyFill="1" applyBorder="1" applyAlignment="1" applyProtection="1">
      <alignment horizontal="center" vertical="center"/>
      <protection locked="0"/>
    </xf>
    <xf numFmtId="41" fontId="14" fillId="2" borderId="0" xfId="0" applyNumberFormat="1" applyFont="1" applyFill="1" applyBorder="1" applyAlignment="1">
      <alignment horizontal="center" vertical="center" wrapText="1"/>
    </xf>
    <xf numFmtId="170" fontId="8" fillId="2" borderId="0" xfId="4" applyNumberFormat="1" applyFont="1" applyFill="1" applyBorder="1" applyAlignment="1">
      <alignment horizontal="right" vertical="center" wrapText="1"/>
    </xf>
    <xf numFmtId="0" fontId="11" fillId="2" borderId="0" xfId="0" applyFont="1" applyFill="1" applyBorder="1" applyAlignment="1">
      <alignment horizontal="center" vertical="center" wrapText="1"/>
    </xf>
    <xf numFmtId="0" fontId="14" fillId="2" borderId="0" xfId="0" applyFont="1" applyFill="1" applyBorder="1" applyAlignment="1">
      <alignment horizontal="left" vertical="center"/>
    </xf>
    <xf numFmtId="0" fontId="11" fillId="2" borderId="0" xfId="0" applyFont="1" applyFill="1" applyBorder="1" applyAlignment="1">
      <alignment horizontal="left" vertical="center" wrapText="1"/>
    </xf>
    <xf numFmtId="43" fontId="0" fillId="0" borderId="0" xfId="0" applyNumberFormat="1" applyAlignment="1">
      <alignment vertical="center" wrapText="1"/>
    </xf>
    <xf numFmtId="0" fontId="17" fillId="18" borderId="0" xfId="0" applyFont="1" applyFill="1" applyBorder="1" applyAlignment="1">
      <alignment horizontal="left" vertical="center" wrapText="1"/>
    </xf>
    <xf numFmtId="0" fontId="17" fillId="18" borderId="0" xfId="0" applyFont="1" applyFill="1" applyBorder="1" applyAlignment="1">
      <alignment vertical="center" wrapText="1"/>
    </xf>
    <xf numFmtId="164" fontId="13" fillId="8" borderId="0" xfId="4" applyNumberFormat="1" applyFont="1" applyFill="1" applyBorder="1" applyAlignment="1">
      <alignment vertical="center" wrapText="1"/>
    </xf>
    <xf numFmtId="0" fontId="13" fillId="8" borderId="0" xfId="0" applyFont="1" applyFill="1" applyBorder="1" applyAlignment="1">
      <alignment horizontal="left" vertical="center" wrapText="1"/>
    </xf>
    <xf numFmtId="0" fontId="11" fillId="2" borderId="0" xfId="0" applyFont="1" applyFill="1" applyBorder="1" applyAlignment="1" applyProtection="1">
      <alignment vertical="top" wrapText="1"/>
      <protection locked="0"/>
    </xf>
    <xf numFmtId="169" fontId="22" fillId="24" borderId="0" xfId="3" applyNumberFormat="1" applyFont="1" applyFill="1" applyBorder="1" applyAlignment="1">
      <alignment horizontal="center" vertical="center" wrapText="1"/>
    </xf>
    <xf numFmtId="168" fontId="8" fillId="2" borderId="0" xfId="4" applyNumberFormat="1" applyFont="1" applyFill="1" applyBorder="1" applyAlignment="1">
      <alignment horizontal="left" vertical="center" wrapText="1"/>
    </xf>
    <xf numFmtId="164" fontId="45" fillId="0" borderId="0" xfId="4" applyFont="1"/>
    <xf numFmtId="164" fontId="0" fillId="0" borderId="0" xfId="4" applyFont="1"/>
    <xf numFmtId="164" fontId="0" fillId="0" borderId="0" xfId="4" applyFont="1" applyFill="1" applyBorder="1"/>
    <xf numFmtId="0" fontId="5" fillId="0" borderId="0" xfId="0" applyFont="1"/>
    <xf numFmtId="49" fontId="45" fillId="0" borderId="0" xfId="4" applyNumberFormat="1" applyFont="1"/>
    <xf numFmtId="49" fontId="0" fillId="0" borderId="0" xfId="4" applyNumberFormat="1" applyFont="1"/>
    <xf numFmtId="49" fontId="0" fillId="0" borderId="0" xfId="4" applyNumberFormat="1" applyFont="1" applyFill="1" applyBorder="1"/>
    <xf numFmtId="169" fontId="12" fillId="25" borderId="45" xfId="4" applyNumberFormat="1" applyFont="1" applyFill="1" applyBorder="1" applyAlignment="1">
      <alignment horizontal="center" vertical="center"/>
    </xf>
    <xf numFmtId="49" fontId="0" fillId="0" borderId="0" xfId="0" applyNumberFormat="1"/>
    <xf numFmtId="0" fontId="102" fillId="25" borderId="13" xfId="0" applyFont="1" applyFill="1" applyBorder="1" applyAlignment="1">
      <alignment horizontal="center" vertical="center" wrapText="1"/>
    </xf>
    <xf numFmtId="164" fontId="102" fillId="16" borderId="46" xfId="4" applyFont="1" applyFill="1" applyBorder="1" applyAlignment="1">
      <alignment horizontal="center" vertical="center" wrapText="1"/>
    </xf>
    <xf numFmtId="49" fontId="12" fillId="25" borderId="36" xfId="4" applyNumberFormat="1" applyFont="1" applyFill="1" applyBorder="1" applyAlignment="1">
      <alignment horizontal="center" vertical="center" wrapText="1"/>
    </xf>
    <xf numFmtId="49" fontId="45" fillId="0" borderId="0" xfId="4" applyNumberFormat="1" applyFont="1" applyAlignment="1">
      <alignment horizontal="center" vertical="center" wrapText="1"/>
    </xf>
    <xf numFmtId="49" fontId="0" fillId="0" borderId="0" xfId="4" applyNumberFormat="1" applyFont="1" applyAlignment="1">
      <alignment horizontal="center" vertical="center" wrapText="1"/>
    </xf>
    <xf numFmtId="49" fontId="0" fillId="0" borderId="0" xfId="4" applyNumberFormat="1" applyFont="1" applyFill="1" applyBorder="1" applyAlignment="1">
      <alignment horizontal="center" vertical="center" wrapText="1"/>
    </xf>
    <xf numFmtId="164" fontId="12" fillId="25" borderId="48" xfId="4" applyFont="1" applyFill="1" applyBorder="1" applyAlignment="1">
      <alignment horizontal="center" vertical="center" wrapText="1"/>
    </xf>
    <xf numFmtId="169" fontId="12" fillId="25" borderId="49" xfId="4" applyNumberFormat="1" applyFont="1" applyFill="1" applyBorder="1" applyAlignment="1">
      <alignment horizontal="center" vertical="center" wrapText="1"/>
    </xf>
    <xf numFmtId="170" fontId="12" fillId="25" borderId="36" xfId="4" applyNumberFormat="1" applyFont="1" applyFill="1" applyBorder="1" applyAlignment="1">
      <alignment horizontal="center" vertical="center" wrapText="1"/>
    </xf>
    <xf numFmtId="169" fontId="12" fillId="25" borderId="36" xfId="4" applyNumberFormat="1" applyFont="1" applyFill="1" applyBorder="1" applyAlignment="1">
      <alignment horizontal="center" vertical="center" wrapText="1"/>
    </xf>
    <xf numFmtId="169" fontId="12" fillId="25" borderId="45" xfId="4" applyNumberFormat="1" applyFont="1" applyFill="1" applyBorder="1" applyAlignment="1">
      <alignment horizontal="center" vertical="center" wrapText="1"/>
    </xf>
    <xf numFmtId="49" fontId="0" fillId="0" borderId="0" xfId="0" applyNumberFormat="1" applyAlignment="1">
      <alignment horizontal="center" vertical="center" wrapText="1"/>
    </xf>
    <xf numFmtId="0" fontId="6" fillId="3" borderId="1" xfId="0" applyFont="1" applyFill="1" applyBorder="1" applyAlignment="1">
      <alignment horizontal="center" vertical="center" wrapText="1"/>
    </xf>
    <xf numFmtId="164" fontId="4" fillId="3" borderId="4" xfId="4" applyFont="1" applyFill="1" applyBorder="1" applyAlignment="1">
      <alignment horizontal="center" vertical="center" wrapText="1"/>
    </xf>
    <xf numFmtId="164" fontId="5" fillId="2" borderId="1" xfId="4" applyFont="1" applyFill="1" applyBorder="1" applyAlignment="1" applyProtection="1">
      <alignment horizontal="center" vertical="center" wrapText="1"/>
      <protection locked="0"/>
    </xf>
    <xf numFmtId="0" fontId="12" fillId="25" borderId="36" xfId="0" applyFont="1" applyFill="1" applyBorder="1" applyAlignment="1">
      <alignment horizontal="center" vertical="center"/>
    </xf>
    <xf numFmtId="164" fontId="0" fillId="0" borderId="0" xfId="4" applyFont="1" applyAlignment="1">
      <alignment horizontal="center"/>
    </xf>
    <xf numFmtId="164" fontId="0" fillId="5" borderId="0" xfId="4" applyFont="1" applyFill="1"/>
    <xf numFmtId="169" fontId="0" fillId="0" borderId="0" xfId="4" applyNumberFormat="1" applyFont="1" applyAlignment="1">
      <alignment horizontal="center"/>
    </xf>
    <xf numFmtId="170" fontId="0" fillId="0" borderId="0" xfId="4" applyNumberFormat="1" applyFont="1" applyAlignment="1">
      <alignment horizontal="center"/>
    </xf>
    <xf numFmtId="0" fontId="4" fillId="3" borderId="1" xfId="0" applyFont="1" applyFill="1" applyBorder="1" applyAlignment="1">
      <alignment horizontal="center" vertical="center" wrapText="1"/>
    </xf>
    <xf numFmtId="164" fontId="4" fillId="3" borderId="1" xfId="4" applyFont="1" applyFill="1" applyBorder="1" applyAlignment="1">
      <alignment horizontal="center" vertical="center" wrapText="1"/>
    </xf>
    <xf numFmtId="164" fontId="5" fillId="3" borderId="1" xfId="4" applyFont="1" applyFill="1" applyBorder="1" applyAlignment="1" applyProtection="1">
      <alignment horizontal="center" vertical="center" wrapText="1"/>
      <protection locked="0"/>
    </xf>
    <xf numFmtId="0" fontId="5" fillId="2" borderId="1" xfId="0" applyFont="1" applyFill="1" applyBorder="1" applyAlignment="1">
      <alignment horizontal="center" vertical="center" wrapText="1"/>
    </xf>
    <xf numFmtId="164" fontId="4" fillId="3" borderId="1" xfId="4" applyFont="1" applyFill="1" applyBorder="1" applyAlignment="1" applyProtection="1">
      <alignment horizontal="center" vertical="center" wrapText="1"/>
      <protection locked="0"/>
    </xf>
    <xf numFmtId="0" fontId="4" fillId="2" borderId="1" xfId="0" applyFont="1" applyFill="1" applyBorder="1" applyAlignment="1">
      <alignment horizontal="center" vertical="center" wrapText="1"/>
    </xf>
    <xf numFmtId="169" fontId="5" fillId="2" borderId="1" xfId="4" applyNumberFormat="1" applyFont="1" applyFill="1" applyBorder="1" applyAlignment="1" applyProtection="1">
      <alignment horizontal="center" vertical="center" wrapText="1"/>
      <protection locked="0"/>
    </xf>
    <xf numFmtId="170" fontId="5" fillId="2" borderId="1" xfId="4" applyNumberFormat="1" applyFont="1" applyFill="1" applyBorder="1" applyAlignment="1" applyProtection="1">
      <alignment horizontal="center" vertical="center" wrapText="1"/>
      <protection locked="0"/>
    </xf>
    <xf numFmtId="164" fontId="4" fillId="26" borderId="1" xfId="4" applyFont="1" applyFill="1" applyBorder="1" applyAlignment="1" applyProtection="1">
      <alignment horizontal="center" vertical="center"/>
      <protection locked="0"/>
    </xf>
    <xf numFmtId="164" fontId="4" fillId="2" borderId="1" xfId="4" applyFont="1" applyFill="1" applyBorder="1" applyAlignment="1" applyProtection="1">
      <alignment horizontal="center" vertical="center" wrapText="1"/>
      <protection locked="0"/>
    </xf>
    <xf numFmtId="0" fontId="5" fillId="0" borderId="0" xfId="0" applyFont="1" applyAlignment="1">
      <alignment horizontal="center"/>
    </xf>
    <xf numFmtId="164" fontId="5" fillId="0" borderId="0" xfId="4" applyFont="1" applyAlignment="1">
      <alignment horizontal="center"/>
    </xf>
    <xf numFmtId="0" fontId="103" fillId="2" borderId="0" xfId="0" applyFont="1" applyFill="1"/>
    <xf numFmtId="0" fontId="104" fillId="2" borderId="0" xfId="0" applyFont="1" applyFill="1"/>
    <xf numFmtId="167" fontId="0" fillId="0" borderId="0" xfId="3" applyNumberFormat="1" applyFont="1"/>
    <xf numFmtId="169" fontId="0" fillId="0" borderId="0" xfId="4" applyNumberFormat="1" applyFont="1"/>
    <xf numFmtId="170" fontId="0" fillId="0" borderId="0" xfId="4" applyNumberFormat="1" applyFont="1"/>
    <xf numFmtId="0" fontId="106" fillId="0" borderId="0" xfId="0" applyFont="1" applyAlignment="1">
      <alignment horizontal="left" vertical="center" readingOrder="1"/>
    </xf>
    <xf numFmtId="165" fontId="22" fillId="2" borderId="0" xfId="0" applyNumberFormat="1" applyFont="1" applyFill="1"/>
    <xf numFmtId="165" fontId="22" fillId="0" borderId="0" xfId="0" applyNumberFormat="1" applyFont="1"/>
    <xf numFmtId="165" fontId="22" fillId="9" borderId="0" xfId="3" applyNumberFormat="1" applyFont="1" applyFill="1"/>
    <xf numFmtId="1" fontId="22" fillId="2" borderId="0" xfId="0" applyNumberFormat="1" applyFont="1" applyFill="1"/>
    <xf numFmtId="0" fontId="46" fillId="2" borderId="0" xfId="0" applyFont="1" applyFill="1" applyAlignment="1">
      <alignment vertical="center" wrapText="1"/>
    </xf>
    <xf numFmtId="0" fontId="22" fillId="0" borderId="0" xfId="0" applyFont="1" applyAlignment="1">
      <alignment vertical="center" wrapText="1"/>
    </xf>
    <xf numFmtId="0" fontId="22" fillId="2" borderId="0" xfId="0" applyFont="1" applyFill="1" applyAlignment="1">
      <alignment wrapText="1"/>
    </xf>
    <xf numFmtId="164" fontId="100" fillId="2" borderId="1" xfId="4" applyNumberFormat="1" applyFont="1" applyFill="1" applyBorder="1" applyAlignment="1" applyProtection="1">
      <alignment vertical="center" wrapText="1"/>
      <protection locked="0"/>
    </xf>
    <xf numFmtId="169" fontId="22" fillId="2" borderId="0" xfId="3" applyNumberFormat="1" applyFont="1" applyFill="1" applyBorder="1" applyAlignment="1">
      <alignment horizontal="center" vertical="center" wrapText="1"/>
    </xf>
    <xf numFmtId="0" fontId="0" fillId="2" borderId="0" xfId="0" applyFill="1" applyAlignment="1">
      <alignment vertical="center" wrapText="1"/>
    </xf>
    <xf numFmtId="164" fontId="22" fillId="2" borderId="2" xfId="4" applyNumberFormat="1" applyFont="1" applyFill="1" applyBorder="1" applyAlignment="1" applyProtection="1">
      <alignment vertical="center" wrapText="1"/>
      <protection locked="0"/>
    </xf>
    <xf numFmtId="164" fontId="100" fillId="2" borderId="2" xfId="4" applyNumberFormat="1" applyFont="1" applyFill="1" applyBorder="1" applyAlignment="1" applyProtection="1">
      <alignment vertical="center" wrapText="1"/>
      <protection locked="0"/>
    </xf>
    <xf numFmtId="169" fontId="22" fillId="2" borderId="2" xfId="4" applyNumberFormat="1" applyFont="1" applyFill="1" applyBorder="1" applyAlignment="1" applyProtection="1">
      <alignment vertical="center" wrapText="1"/>
      <protection locked="0"/>
    </xf>
    <xf numFmtId="0" fontId="107" fillId="2" borderId="0" xfId="0" applyFont="1" applyFill="1" applyAlignment="1">
      <alignment vertical="center" wrapText="1"/>
    </xf>
    <xf numFmtId="0" fontId="45" fillId="0" borderId="0" xfId="0" applyFont="1" applyBorder="1" applyAlignment="1">
      <alignment wrapText="1"/>
    </xf>
    <xf numFmtId="0" fontId="45" fillId="0" borderId="0" xfId="0" applyFont="1" applyBorder="1" applyAlignment="1">
      <alignment vertical="center" wrapText="1"/>
    </xf>
    <xf numFmtId="0" fontId="45" fillId="2" borderId="0" xfId="0" applyFont="1" applyFill="1" applyBorder="1" applyAlignment="1">
      <alignment wrapText="1"/>
    </xf>
    <xf numFmtId="0" fontId="0" fillId="2" borderId="0" xfId="0" applyFill="1" applyAlignment="1"/>
    <xf numFmtId="168" fontId="11" fillId="2" borderId="24" xfId="4" applyNumberFormat="1" applyFont="1" applyFill="1" applyBorder="1" applyAlignment="1">
      <alignment vertical="center" wrapText="1"/>
    </xf>
    <xf numFmtId="168" fontId="11" fillId="2" borderId="0" xfId="4" applyNumberFormat="1" applyFont="1" applyFill="1" applyBorder="1" applyAlignment="1">
      <alignment vertical="center" wrapText="1"/>
    </xf>
    <xf numFmtId="4" fontId="0" fillId="0" borderId="0" xfId="0" applyNumberFormat="1"/>
    <xf numFmtId="172" fontId="77" fillId="14" borderId="0" xfId="0" applyNumberFormat="1" applyFont="1" applyFill="1" applyBorder="1" applyAlignment="1">
      <alignment vertical="center" wrapText="1"/>
    </xf>
    <xf numFmtId="9" fontId="53" fillId="0" borderId="1" xfId="3" applyFont="1" applyFill="1" applyBorder="1" applyAlignment="1">
      <alignment horizontal="right" vertical="center" wrapText="1"/>
    </xf>
    <xf numFmtId="167" fontId="53" fillId="2" borderId="1" xfId="3" applyNumberFormat="1" applyFont="1" applyFill="1" applyBorder="1" applyAlignment="1">
      <alignment horizontal="right" vertical="center" wrapText="1"/>
    </xf>
    <xf numFmtId="0" fontId="22" fillId="2" borderId="0" xfId="0" applyFont="1" applyFill="1" applyAlignment="1">
      <alignment vertical="center" wrapText="1"/>
    </xf>
    <xf numFmtId="0" fontId="14" fillId="18" borderId="13" xfId="0" applyFont="1" applyFill="1" applyBorder="1" applyAlignment="1" applyProtection="1">
      <alignment vertical="center"/>
      <protection locked="0"/>
    </xf>
    <xf numFmtId="167" fontId="8" fillId="2" borderId="0" xfId="3" applyNumberFormat="1" applyFont="1" applyFill="1" applyBorder="1" applyAlignment="1">
      <alignment horizontal="right" vertical="center" wrapText="1"/>
    </xf>
    <xf numFmtId="4" fontId="103" fillId="2" borderId="0" xfId="0" applyNumberFormat="1" applyFont="1" applyFill="1"/>
    <xf numFmtId="4" fontId="0" fillId="2" borderId="0" xfId="0" applyNumberFormat="1" applyFill="1"/>
    <xf numFmtId="4" fontId="5" fillId="2" borderId="0" xfId="0" applyNumberFormat="1" applyFont="1" applyFill="1" applyAlignment="1">
      <alignment wrapText="1"/>
    </xf>
    <xf numFmtId="167" fontId="5" fillId="2" borderId="0" xfId="3" applyNumberFormat="1" applyFont="1" applyFill="1" applyAlignment="1">
      <alignment wrapText="1"/>
    </xf>
    <xf numFmtId="167" fontId="5" fillId="2" borderId="0" xfId="3" applyNumberFormat="1" applyFont="1" applyFill="1"/>
    <xf numFmtId="0" fontId="46" fillId="2" borderId="0" xfId="0" applyFont="1" applyFill="1" applyAlignment="1">
      <alignment vertical="top" wrapText="1"/>
    </xf>
    <xf numFmtId="0" fontId="7" fillId="2" borderId="0" xfId="0" applyFont="1" applyFill="1" applyAlignment="1">
      <alignment horizontal="center"/>
    </xf>
    <xf numFmtId="2" fontId="0" fillId="0" borderId="0" xfId="0" applyNumberFormat="1" applyAlignment="1">
      <alignment vertical="center" wrapText="1"/>
    </xf>
    <xf numFmtId="0" fontId="100" fillId="2" borderId="1" xfId="0" applyFont="1" applyFill="1" applyBorder="1" applyAlignment="1">
      <alignment horizontal="center" wrapText="1"/>
    </xf>
    <xf numFmtId="0" fontId="100" fillId="2" borderId="1" xfId="0" applyFont="1" applyFill="1" applyBorder="1" applyAlignment="1">
      <alignment horizontal="center" vertical="top" wrapText="1"/>
    </xf>
    <xf numFmtId="0" fontId="100" fillId="0" borderId="1" xfId="0" applyFont="1" applyBorder="1" applyAlignment="1">
      <alignment horizontal="center" vertical="top" wrapText="1"/>
    </xf>
    <xf numFmtId="0" fontId="100" fillId="0" borderId="1" xfId="0" applyFont="1" applyBorder="1" applyAlignment="1">
      <alignment horizontal="center" wrapText="1"/>
    </xf>
    <xf numFmtId="0" fontId="22" fillId="2" borderId="0" xfId="0" applyFont="1" applyFill="1" applyBorder="1"/>
    <xf numFmtId="0" fontId="22" fillId="0" borderId="0" xfId="0" applyFont="1" applyBorder="1"/>
    <xf numFmtId="3" fontId="22" fillId="0" borderId="0" xfId="0" applyNumberFormat="1" applyFont="1" applyBorder="1"/>
    <xf numFmtId="168" fontId="8" fillId="2" borderId="0" xfId="4" applyNumberFormat="1" applyFont="1" applyFill="1" applyBorder="1" applyAlignment="1">
      <alignment horizontal="left" vertical="center" wrapText="1"/>
    </xf>
    <xf numFmtId="0" fontId="11" fillId="5" borderId="15" xfId="0" applyFont="1" applyFill="1" applyBorder="1" applyAlignment="1">
      <alignment horizontal="left" vertical="center" wrapText="1"/>
    </xf>
    <xf numFmtId="0" fontId="11" fillId="5" borderId="16" xfId="0" applyFont="1" applyFill="1" applyBorder="1" applyAlignment="1">
      <alignment horizontal="left" vertical="center" wrapText="1"/>
    </xf>
    <xf numFmtId="0" fontId="11" fillId="5" borderId="0" xfId="0" applyFont="1" applyFill="1" applyBorder="1" applyAlignment="1">
      <alignment horizontal="left" vertical="center" wrapText="1"/>
    </xf>
    <xf numFmtId="0" fontId="11" fillId="5" borderId="6" xfId="0" applyFont="1" applyFill="1" applyBorder="1" applyAlignment="1">
      <alignment horizontal="left" vertical="center" wrapText="1"/>
    </xf>
    <xf numFmtId="0" fontId="11" fillId="5" borderId="7" xfId="0" applyFont="1" applyFill="1" applyBorder="1" applyAlignment="1">
      <alignment horizontal="left" vertical="center" wrapText="1"/>
    </xf>
    <xf numFmtId="0" fontId="11" fillId="5" borderId="8" xfId="0" applyFont="1" applyFill="1" applyBorder="1" applyAlignment="1">
      <alignment horizontal="left" vertical="center" wrapText="1"/>
    </xf>
    <xf numFmtId="0" fontId="11" fillId="5" borderId="9" xfId="0" applyFont="1" applyFill="1" applyBorder="1" applyAlignment="1">
      <alignment horizontal="left" vertical="center" wrapText="1"/>
    </xf>
    <xf numFmtId="0" fontId="14" fillId="8" borderId="21" xfId="0" applyFont="1" applyFill="1" applyBorder="1" applyAlignment="1">
      <alignment horizontal="left" vertical="center"/>
    </xf>
    <xf numFmtId="0" fontId="14" fillId="8" borderId="22" xfId="0" applyFont="1" applyFill="1" applyBorder="1" applyAlignment="1">
      <alignment horizontal="left" vertical="center"/>
    </xf>
    <xf numFmtId="0" fontId="14" fillId="8" borderId="23" xfId="0" applyFont="1" applyFill="1" applyBorder="1" applyAlignment="1">
      <alignment horizontal="left" vertical="center"/>
    </xf>
    <xf numFmtId="9" fontId="22" fillId="27" borderId="0" xfId="0" applyNumberFormat="1" applyFont="1" applyFill="1"/>
    <xf numFmtId="0" fontId="22" fillId="2" borderId="0" xfId="0" applyFont="1" applyFill="1" applyAlignment="1">
      <alignment horizontal="left"/>
    </xf>
    <xf numFmtId="164" fontId="22" fillId="2" borderId="0" xfId="4" applyFont="1" applyFill="1"/>
    <xf numFmtId="164" fontId="22" fillId="3" borderId="1" xfId="3" applyNumberFormat="1" applyFont="1" applyFill="1" applyBorder="1" applyAlignment="1">
      <alignment horizontal="center" vertical="center" wrapText="1"/>
    </xf>
    <xf numFmtId="172" fontId="53" fillId="2" borderId="1" xfId="0" applyNumberFormat="1" applyFont="1" applyFill="1" applyBorder="1" applyAlignment="1">
      <alignment horizontal="right" vertical="center" wrapText="1"/>
    </xf>
    <xf numFmtId="41" fontId="53" fillId="2" borderId="1" xfId="0" applyNumberFormat="1" applyFont="1" applyFill="1" applyBorder="1" applyAlignment="1">
      <alignment horizontal="right" vertical="center" wrapText="1"/>
    </xf>
    <xf numFmtId="0" fontId="66" fillId="2" borderId="0" xfId="0" applyFont="1" applyFill="1" applyAlignment="1">
      <alignment vertical="center" wrapText="1"/>
    </xf>
    <xf numFmtId="0" fontId="107" fillId="2" borderId="0" xfId="0" applyFont="1" applyFill="1" applyAlignment="1">
      <alignment vertical="center" wrapText="1"/>
    </xf>
    <xf numFmtId="0" fontId="46" fillId="2" borderId="0" xfId="0" applyFont="1" applyFill="1" applyAlignment="1">
      <alignment vertical="top" wrapText="1"/>
    </xf>
    <xf numFmtId="9" fontId="22" fillId="2" borderId="0" xfId="3" applyFont="1" applyFill="1"/>
    <xf numFmtId="2" fontId="22" fillId="9" borderId="0" xfId="0" applyNumberFormat="1" applyFont="1" applyFill="1"/>
    <xf numFmtId="0" fontId="101" fillId="2" borderId="0" xfId="0" applyFont="1" applyFill="1" applyAlignment="1">
      <alignment vertical="center" wrapText="1"/>
    </xf>
    <xf numFmtId="0" fontId="64" fillId="2" borderId="0" xfId="0" applyFont="1" applyFill="1"/>
    <xf numFmtId="0" fontId="21" fillId="18" borderId="1" xfId="0" applyFont="1" applyFill="1" applyBorder="1" applyAlignment="1">
      <alignment horizontal="left" vertical="center" wrapText="1"/>
    </xf>
    <xf numFmtId="0" fontId="12" fillId="25" borderId="36" xfId="0" applyFont="1" applyFill="1" applyBorder="1" applyAlignment="1">
      <alignment horizontal="center" vertical="center"/>
    </xf>
    <xf numFmtId="9" fontId="12" fillId="25" borderId="36" xfId="3" applyFont="1" applyFill="1" applyBorder="1" applyAlignment="1">
      <alignment horizontal="center" vertical="center"/>
    </xf>
    <xf numFmtId="164" fontId="12" fillId="25" borderId="37" xfId="4" applyFont="1" applyFill="1" applyBorder="1" applyAlignment="1">
      <alignment horizontal="center" vertical="center"/>
    </xf>
    <xf numFmtId="164" fontId="12" fillId="25" borderId="38" xfId="4" applyFont="1" applyFill="1" applyBorder="1" applyAlignment="1">
      <alignment horizontal="center" vertical="center"/>
    </xf>
    <xf numFmtId="164" fontId="12" fillId="25" borderId="39" xfId="4" applyFont="1" applyFill="1" applyBorder="1" applyAlignment="1">
      <alignment horizontal="center" vertical="center"/>
    </xf>
    <xf numFmtId="164" fontId="12" fillId="25" borderId="42" xfId="4" applyFont="1" applyFill="1" applyBorder="1" applyAlignment="1">
      <alignment horizontal="center" vertical="center"/>
    </xf>
    <xf numFmtId="164" fontId="12" fillId="25" borderId="43" xfId="4" applyFont="1" applyFill="1" applyBorder="1" applyAlignment="1">
      <alignment horizontal="center" vertical="center"/>
    </xf>
    <xf numFmtId="164" fontId="12" fillId="25" borderId="44" xfId="4" applyFont="1" applyFill="1" applyBorder="1" applyAlignment="1">
      <alignment horizontal="center" vertical="center"/>
    </xf>
    <xf numFmtId="164" fontId="12" fillId="25" borderId="40" xfId="4" applyFont="1" applyFill="1" applyBorder="1" applyAlignment="1">
      <alignment horizontal="center" vertical="center"/>
    </xf>
    <xf numFmtId="164" fontId="12" fillId="25" borderId="0" xfId="4" applyFont="1" applyFill="1" applyBorder="1" applyAlignment="1">
      <alignment horizontal="center" vertical="center"/>
    </xf>
    <xf numFmtId="49" fontId="12" fillId="25" borderId="36" xfId="4" applyNumberFormat="1" applyFont="1" applyFill="1" applyBorder="1" applyAlignment="1">
      <alignment horizontal="center" vertical="center"/>
    </xf>
    <xf numFmtId="49" fontId="12" fillId="25" borderId="41" xfId="4" applyNumberFormat="1" applyFont="1" applyFill="1" applyBorder="1" applyAlignment="1">
      <alignment horizontal="center" vertical="center"/>
    </xf>
    <xf numFmtId="49" fontId="12" fillId="25" borderId="47" xfId="4" applyNumberFormat="1" applyFont="1" applyFill="1" applyBorder="1" applyAlignment="1">
      <alignment horizontal="center" vertical="center"/>
    </xf>
    <xf numFmtId="49" fontId="12" fillId="25" borderId="41" xfId="4" applyNumberFormat="1" applyFont="1" applyFill="1" applyBorder="1" applyAlignment="1">
      <alignment horizontal="center" vertical="center" wrapText="1"/>
    </xf>
    <xf numFmtId="169" fontId="12" fillId="25" borderId="37" xfId="4" applyNumberFormat="1" applyFont="1" applyFill="1" applyBorder="1" applyAlignment="1">
      <alignment horizontal="center" vertical="center" wrapText="1"/>
    </xf>
    <xf numFmtId="169" fontId="12" fillId="25" borderId="42" xfId="4" applyNumberFormat="1" applyFont="1" applyFill="1" applyBorder="1" applyAlignment="1">
      <alignment horizontal="center" vertical="center" wrapText="1"/>
    </xf>
    <xf numFmtId="0" fontId="102" fillId="25" borderId="24" xfId="0" applyFont="1" applyFill="1" applyBorder="1" applyAlignment="1">
      <alignment horizontal="center" vertical="center" wrapText="1"/>
    </xf>
    <xf numFmtId="0" fontId="102" fillId="25" borderId="6" xfId="0" applyFont="1" applyFill="1" applyBorder="1" applyAlignment="1">
      <alignment horizontal="center" vertical="center" wrapText="1"/>
    </xf>
    <xf numFmtId="164" fontId="105" fillId="9" borderId="0" xfId="4" applyFont="1" applyFill="1" applyAlignment="1">
      <alignment horizontal="center" vertical="center" wrapText="1"/>
    </xf>
    <xf numFmtId="0" fontId="37" fillId="0" borderId="21" xfId="0" applyFont="1" applyBorder="1" applyAlignment="1">
      <alignment horizontal="left" vertical="center"/>
    </xf>
    <xf numFmtId="0" fontId="37" fillId="0" borderId="22" xfId="0" applyFont="1" applyBorder="1" applyAlignment="1">
      <alignment horizontal="left" vertical="center"/>
    </xf>
    <xf numFmtId="0" fontId="37" fillId="0" borderId="23" xfId="0" applyFont="1" applyBorder="1" applyAlignment="1">
      <alignment horizontal="left" vertical="center"/>
    </xf>
    <xf numFmtId="0" fontId="69" fillId="9" borderId="21" xfId="15" applyFill="1" applyBorder="1" applyAlignment="1">
      <alignment horizontal="left" vertical="center" wrapText="1"/>
    </xf>
    <xf numFmtId="0" fontId="69" fillId="9" borderId="22" xfId="15" applyFill="1" applyBorder="1" applyAlignment="1">
      <alignment horizontal="left" vertical="center" wrapText="1"/>
    </xf>
    <xf numFmtId="0" fontId="69" fillId="9" borderId="23" xfId="15" applyFill="1" applyBorder="1" applyAlignment="1">
      <alignment horizontal="left" vertical="center" wrapText="1"/>
    </xf>
    <xf numFmtId="0" fontId="37" fillId="9" borderId="7" xfId="0" applyFont="1" applyFill="1" applyBorder="1" applyAlignment="1">
      <alignment horizontal="left" vertical="center" wrapText="1"/>
    </xf>
    <xf numFmtId="0" fontId="37" fillId="9" borderId="8" xfId="0" applyFont="1" applyFill="1" applyBorder="1" applyAlignment="1">
      <alignment horizontal="left" vertical="center" wrapText="1"/>
    </xf>
    <xf numFmtId="0" fontId="37" fillId="9" borderId="9" xfId="0" applyFont="1" applyFill="1" applyBorder="1" applyAlignment="1">
      <alignment horizontal="left" vertical="center" wrapText="1"/>
    </xf>
    <xf numFmtId="0" fontId="69" fillId="0" borderId="21" xfId="15" applyBorder="1" applyAlignment="1">
      <alignment horizontal="left" vertical="center" wrapText="1"/>
    </xf>
    <xf numFmtId="0" fontId="69" fillId="0" borderId="22" xfId="15" applyBorder="1" applyAlignment="1">
      <alignment horizontal="left" vertical="center" wrapText="1"/>
    </xf>
    <xf numFmtId="0" fontId="69" fillId="0" borderId="23" xfId="15" applyBorder="1" applyAlignment="1">
      <alignment horizontal="left" vertical="center" wrapText="1"/>
    </xf>
    <xf numFmtId="0" fontId="37" fillId="2" borderId="7" xfId="0" applyFont="1" applyFill="1" applyBorder="1" applyAlignment="1">
      <alignment horizontal="left" vertical="center" wrapText="1"/>
    </xf>
    <xf numFmtId="0" fontId="37" fillId="2" borderId="8" xfId="0" applyFont="1" applyFill="1" applyBorder="1" applyAlignment="1">
      <alignment horizontal="left" vertical="center" wrapText="1"/>
    </xf>
    <xf numFmtId="0" fontId="37" fillId="2" borderId="9" xfId="0" applyFont="1" applyFill="1" applyBorder="1" applyAlignment="1">
      <alignment horizontal="left" vertical="center" wrapText="1"/>
    </xf>
    <xf numFmtId="0" fontId="37" fillId="0" borderId="7" xfId="0" applyFont="1" applyBorder="1" applyAlignment="1">
      <alignment horizontal="left" vertical="center" wrapText="1"/>
    </xf>
    <xf numFmtId="0" fontId="37" fillId="0" borderId="8" xfId="0" applyFont="1" applyBorder="1" applyAlignment="1">
      <alignment horizontal="left" vertical="center" wrapText="1"/>
    </xf>
    <xf numFmtId="0" fontId="37" fillId="0" borderId="9" xfId="0" applyFont="1" applyBorder="1" applyAlignment="1">
      <alignment horizontal="left" vertical="center" wrapText="1"/>
    </xf>
    <xf numFmtId="168" fontId="8" fillId="2" borderId="24" xfId="4" applyNumberFormat="1" applyFont="1" applyFill="1" applyBorder="1" applyAlignment="1">
      <alignment horizontal="left" vertical="center" wrapText="1"/>
    </xf>
    <xf numFmtId="168" fontId="8" fillId="2" borderId="0" xfId="4" applyNumberFormat="1" applyFont="1" applyFill="1" applyBorder="1" applyAlignment="1">
      <alignment horizontal="left" vertical="center" wrapText="1"/>
    </xf>
    <xf numFmtId="0" fontId="0" fillId="0" borderId="0" xfId="0" applyAlignment="1">
      <alignment horizontal="center" wrapText="1"/>
    </xf>
    <xf numFmtId="0" fontId="0" fillId="0" borderId="0" xfId="0" applyAlignment="1">
      <alignment horizontal="center"/>
    </xf>
    <xf numFmtId="0" fontId="69" fillId="0" borderId="14" xfId="15" applyBorder="1" applyAlignment="1">
      <alignment horizontal="left" vertical="center" wrapText="1"/>
    </xf>
    <xf numFmtId="0" fontId="69" fillId="0" borderId="15" xfId="15" applyBorder="1" applyAlignment="1">
      <alignment horizontal="left" vertical="center" wrapText="1"/>
    </xf>
    <xf numFmtId="0" fontId="69" fillId="0" borderId="16" xfId="15" applyBorder="1" applyAlignment="1">
      <alignment horizontal="left" vertical="center" wrapText="1"/>
    </xf>
    <xf numFmtId="0" fontId="70" fillId="0" borderId="14" xfId="0" applyFont="1" applyBorder="1" applyAlignment="1">
      <alignment horizontal="center" vertical="center"/>
    </xf>
    <xf numFmtId="0" fontId="70" fillId="0" borderId="15" xfId="0" applyFont="1" applyBorder="1" applyAlignment="1">
      <alignment horizontal="center" vertical="center"/>
    </xf>
    <xf numFmtId="0" fontId="70" fillId="0" borderId="16" xfId="0" applyFont="1" applyBorder="1" applyAlignment="1">
      <alignment horizontal="center" vertical="center"/>
    </xf>
    <xf numFmtId="0" fontId="70" fillId="0" borderId="7" xfId="0" applyFont="1" applyBorder="1" applyAlignment="1">
      <alignment horizontal="center" vertical="center"/>
    </xf>
    <xf numFmtId="0" fontId="70" fillId="0" borderId="8" xfId="0" applyFont="1" applyBorder="1" applyAlignment="1">
      <alignment horizontal="center" vertical="center"/>
    </xf>
    <xf numFmtId="0" fontId="70" fillId="0" borderId="9" xfId="0" applyFont="1" applyBorder="1" applyAlignment="1">
      <alignment horizontal="center" vertical="center"/>
    </xf>
    <xf numFmtId="0" fontId="37" fillId="9" borderId="5" xfId="0" applyFont="1" applyFill="1" applyBorder="1" applyAlignment="1">
      <alignment horizontal="center"/>
    </xf>
    <xf numFmtId="0" fontId="37" fillId="9" borderId="0" xfId="0" applyFont="1" applyFill="1" applyBorder="1" applyAlignment="1">
      <alignment horizontal="center"/>
    </xf>
    <xf numFmtId="0" fontId="37" fillId="9" borderId="6" xfId="0" applyFont="1" applyFill="1" applyBorder="1" applyAlignment="1">
      <alignment horizontal="center"/>
    </xf>
    <xf numFmtId="0" fontId="37" fillId="0" borderId="21" xfId="0" applyFont="1" applyBorder="1" applyAlignment="1">
      <alignment horizontal="left" vertical="center" wrapText="1"/>
    </xf>
    <xf numFmtId="0" fontId="37" fillId="0" borderId="22" xfId="0" applyFont="1" applyBorder="1" applyAlignment="1">
      <alignment horizontal="left" vertical="center" wrapText="1"/>
    </xf>
    <xf numFmtId="0" fontId="37" fillId="0" borderId="23" xfId="0" applyFont="1" applyBorder="1" applyAlignment="1">
      <alignment horizontal="left" vertical="center" wrapText="1"/>
    </xf>
    <xf numFmtId="0" fontId="13" fillId="18" borderId="5" xfId="0" applyFont="1" applyFill="1" applyBorder="1" applyAlignment="1">
      <alignment horizontal="center" vertical="center"/>
    </xf>
    <xf numFmtId="0" fontId="13" fillId="18" borderId="0" xfId="0" applyFont="1" applyFill="1" applyAlignment="1">
      <alignment horizontal="center" vertical="center"/>
    </xf>
    <xf numFmtId="0" fontId="4" fillId="9" borderId="0" xfId="0" applyFont="1" applyFill="1" applyAlignment="1">
      <alignment horizontal="left" wrapText="1"/>
    </xf>
    <xf numFmtId="0" fontId="45" fillId="2" borderId="0" xfId="0" applyFont="1" applyFill="1" applyAlignment="1">
      <alignment horizontal="center" vertical="center" wrapText="1"/>
    </xf>
    <xf numFmtId="0" fontId="7" fillId="2" borderId="5" xfId="0" applyFont="1" applyFill="1" applyBorder="1" applyAlignment="1">
      <alignment horizontal="center" vertical="center" wrapText="1"/>
    </xf>
    <xf numFmtId="0" fontId="7" fillId="2" borderId="0" xfId="0" applyFont="1" applyFill="1" applyAlignment="1">
      <alignment horizontal="center" vertical="center" wrapText="1"/>
    </xf>
    <xf numFmtId="0" fontId="3" fillId="9" borderId="0" xfId="0" applyFont="1" applyFill="1" applyAlignment="1">
      <alignment horizontal="left" vertical="top" wrapText="1"/>
    </xf>
    <xf numFmtId="0" fontId="0" fillId="9" borderId="0" xfId="0" applyFill="1" applyAlignment="1">
      <alignment horizontal="left" vertical="top" wrapText="1"/>
    </xf>
    <xf numFmtId="9" fontId="22" fillId="0" borderId="0" xfId="3" applyFont="1" applyFill="1" applyBorder="1" applyAlignment="1">
      <alignment horizontal="center" vertical="center" wrapText="1"/>
    </xf>
    <xf numFmtId="2" fontId="22" fillId="2" borderId="0" xfId="3" applyNumberFormat="1" applyFont="1" applyFill="1" applyBorder="1" applyAlignment="1">
      <alignment horizontal="center" vertical="center" wrapText="1"/>
    </xf>
    <xf numFmtId="9" fontId="100" fillId="0" borderId="0" xfId="3" applyFont="1" applyFill="1" applyBorder="1" applyAlignment="1">
      <alignment horizontal="center" vertical="center" wrapText="1"/>
    </xf>
    <xf numFmtId="167" fontId="22" fillId="0" borderId="0" xfId="3" applyNumberFormat="1" applyFont="1" applyFill="1" applyBorder="1" applyAlignment="1">
      <alignment horizontal="center" vertical="center" wrapText="1"/>
    </xf>
    <xf numFmtId="0" fontId="22" fillId="2" borderId="0" xfId="0" applyFont="1" applyFill="1" applyBorder="1" applyAlignment="1">
      <alignment horizontal="center" vertical="center"/>
    </xf>
    <xf numFmtId="0" fontId="22" fillId="2" borderId="0" xfId="0" applyFont="1" applyFill="1" applyBorder="1" applyAlignment="1">
      <alignment horizontal="left"/>
    </xf>
    <xf numFmtId="0" fontId="22" fillId="2" borderId="0" xfId="0" applyFont="1" applyFill="1" applyBorder="1" applyAlignment="1">
      <alignment horizontal="center"/>
    </xf>
    <xf numFmtId="0" fontId="100" fillId="2" borderId="1" xfId="0" applyFont="1" applyFill="1" applyBorder="1" applyAlignment="1">
      <alignment horizontal="left" vertical="center" wrapText="1"/>
    </xf>
    <xf numFmtId="0" fontId="100" fillId="2" borderId="1" xfId="0" applyFont="1" applyFill="1" applyBorder="1" applyAlignment="1">
      <alignment horizontal="center" vertical="center"/>
    </xf>
    <xf numFmtId="0" fontId="100" fillId="2" borderId="1" xfId="0" applyFont="1" applyFill="1" applyBorder="1" applyAlignment="1">
      <alignment horizontal="center" vertical="center" wrapText="1"/>
    </xf>
    <xf numFmtId="9" fontId="100" fillId="0" borderId="1" xfId="3" applyFont="1" applyBorder="1" applyAlignment="1">
      <alignment horizontal="center" vertical="center" wrapText="1"/>
    </xf>
    <xf numFmtId="9" fontId="22" fillId="2" borderId="1" xfId="3" applyFont="1" applyFill="1" applyBorder="1" applyAlignment="1">
      <alignment horizontal="center" vertical="center" wrapText="1"/>
    </xf>
    <xf numFmtId="0" fontId="22" fillId="2" borderId="1" xfId="0" applyFont="1" applyFill="1" applyBorder="1" applyAlignment="1">
      <alignment horizontal="center" vertical="center" wrapText="1"/>
    </xf>
    <xf numFmtId="0" fontId="13" fillId="18" borderId="1" xfId="0" applyFont="1" applyFill="1" applyBorder="1" applyAlignment="1">
      <alignment horizontal="center" vertical="center" wrapText="1"/>
    </xf>
    <xf numFmtId="0" fontId="22" fillId="0" borderId="1" xfId="0" applyFont="1" applyBorder="1" applyAlignment="1">
      <alignment horizontal="center" vertical="center" wrapText="1"/>
    </xf>
    <xf numFmtId="0" fontId="100" fillId="2" borderId="1" xfId="0" applyFont="1" applyFill="1" applyBorder="1" applyAlignment="1">
      <alignment horizontal="center" wrapText="1"/>
    </xf>
    <xf numFmtId="1" fontId="100" fillId="0" borderId="1" xfId="3" applyNumberFormat="1" applyFont="1" applyBorder="1" applyAlignment="1">
      <alignment horizontal="center" vertical="center" wrapText="1"/>
    </xf>
    <xf numFmtId="0" fontId="100" fillId="2" borderId="1" xfId="0" applyFont="1" applyFill="1" applyBorder="1" applyAlignment="1">
      <alignment horizontal="center" vertical="top" wrapText="1"/>
    </xf>
    <xf numFmtId="10" fontId="22" fillId="0" borderId="1" xfId="3" applyNumberFormat="1" applyFont="1" applyFill="1" applyBorder="1" applyAlignment="1">
      <alignment horizontal="center" vertical="center"/>
    </xf>
    <xf numFmtId="10" fontId="22" fillId="2" borderId="1" xfId="3" applyNumberFormat="1" applyFont="1" applyFill="1" applyBorder="1" applyAlignment="1">
      <alignment horizontal="center" vertical="center" wrapText="1"/>
    </xf>
    <xf numFmtId="10" fontId="22" fillId="0" borderId="1" xfId="3" applyNumberFormat="1" applyFont="1" applyFill="1" applyBorder="1" applyAlignment="1">
      <alignment horizontal="center" vertical="center" wrapText="1"/>
    </xf>
    <xf numFmtId="9" fontId="22" fillId="0" borderId="1" xfId="3" applyFont="1" applyFill="1" applyBorder="1" applyAlignment="1">
      <alignment horizontal="center" vertical="center" wrapText="1"/>
    </xf>
    <xf numFmtId="165" fontId="22" fillId="0" borderId="1" xfId="0" applyNumberFormat="1" applyFont="1" applyBorder="1" applyAlignment="1">
      <alignment horizontal="center" vertical="center"/>
    </xf>
    <xf numFmtId="2" fontId="22" fillId="2" borderId="1" xfId="4" applyNumberFormat="1" applyFont="1" applyFill="1" applyBorder="1" applyAlignment="1">
      <alignment horizontal="center" vertical="center" wrapText="1"/>
    </xf>
    <xf numFmtId="2" fontId="22" fillId="0" borderId="1" xfId="0" applyNumberFormat="1" applyFont="1" applyBorder="1" applyAlignment="1">
      <alignment horizontal="center" vertical="center"/>
    </xf>
    <xf numFmtId="167" fontId="22" fillId="0" borderId="1" xfId="3" applyNumberFormat="1" applyFont="1" applyFill="1" applyBorder="1" applyAlignment="1">
      <alignment horizontal="center" vertical="center" wrapText="1"/>
    </xf>
    <xf numFmtId="49" fontId="22" fillId="2" borderId="2" xfId="4" applyNumberFormat="1" applyFont="1" applyFill="1" applyBorder="1" applyAlignment="1">
      <alignment horizontal="center" vertical="center" wrapText="1"/>
    </xf>
    <xf numFmtId="49" fontId="22" fillId="2" borderId="4" xfId="4" applyNumberFormat="1" applyFont="1" applyFill="1" applyBorder="1" applyAlignment="1">
      <alignment horizontal="center" vertical="center" wrapText="1"/>
    </xf>
    <xf numFmtId="0" fontId="100" fillId="2" borderId="1" xfId="5" applyFont="1" applyFill="1" applyBorder="1" applyAlignment="1">
      <alignment horizontal="left" vertical="center" wrapText="1"/>
    </xf>
    <xf numFmtId="0" fontId="100" fillId="12" borderId="1" xfId="5" applyFont="1" applyFill="1" applyBorder="1" applyAlignment="1">
      <alignment horizontal="left" vertical="center" wrapText="1"/>
    </xf>
    <xf numFmtId="9" fontId="100" fillId="0" borderId="1" xfId="3" applyFont="1" applyFill="1" applyBorder="1" applyAlignment="1">
      <alignment horizontal="center" vertical="center" wrapText="1"/>
    </xf>
    <xf numFmtId="49" fontId="22" fillId="2" borderId="1" xfId="4" applyNumberFormat="1" applyFont="1" applyFill="1" applyBorder="1" applyAlignment="1">
      <alignment horizontal="center" vertical="center" wrapText="1"/>
    </xf>
    <xf numFmtId="0" fontId="100" fillId="0" borderId="1" xfId="0" applyFont="1" applyBorder="1" applyAlignment="1">
      <alignment horizontal="center" vertical="center" wrapText="1"/>
    </xf>
    <xf numFmtId="0" fontId="100" fillId="0" borderId="1" xfId="0" applyFont="1" applyBorder="1" applyAlignment="1">
      <alignment horizontal="left" vertical="center" wrapText="1"/>
    </xf>
    <xf numFmtId="0" fontId="100" fillId="0" borderId="1" xfId="0" applyFont="1" applyBorder="1" applyAlignment="1">
      <alignment horizontal="center" vertical="top" wrapText="1"/>
    </xf>
    <xf numFmtId="0" fontId="100" fillId="0" borderId="1" xfId="0" applyFont="1" applyBorder="1" applyAlignment="1">
      <alignment horizontal="center" wrapText="1"/>
    </xf>
    <xf numFmtId="0" fontId="13" fillId="18" borderId="1" xfId="0" applyFont="1" applyFill="1" applyBorder="1" applyAlignment="1">
      <alignment horizontal="left" vertical="center" wrapText="1"/>
    </xf>
    <xf numFmtId="0" fontId="18" fillId="9" borderId="5" xfId="0" applyFont="1" applyFill="1" applyBorder="1" applyAlignment="1">
      <alignment horizontal="left" vertical="center" wrapText="1"/>
    </xf>
    <xf numFmtId="0" fontId="18" fillId="9" borderId="0" xfId="0" applyFont="1" applyFill="1" applyBorder="1" applyAlignment="1">
      <alignment horizontal="left" vertical="center" wrapText="1"/>
    </xf>
    <xf numFmtId="0" fontId="13" fillId="18" borderId="1" xfId="0" applyFont="1" applyFill="1" applyBorder="1" applyAlignment="1">
      <alignment horizontal="left" vertical="center"/>
    </xf>
    <xf numFmtId="0" fontId="17" fillId="18" borderId="0" xfId="0" applyFont="1" applyFill="1" applyBorder="1" applyAlignment="1">
      <alignment horizontal="center" vertical="center" wrapText="1"/>
    </xf>
    <xf numFmtId="0" fontId="58" fillId="0" borderId="0" xfId="0" applyFont="1" applyBorder="1" applyAlignment="1">
      <alignment horizontal="center"/>
    </xf>
    <xf numFmtId="0" fontId="17" fillId="18" borderId="20" xfId="0" applyFont="1" applyFill="1" applyBorder="1" applyAlignment="1">
      <alignment horizontal="center" vertical="center" wrapText="1"/>
    </xf>
    <xf numFmtId="0" fontId="17" fillId="18" borderId="12" xfId="0" applyFont="1" applyFill="1" applyBorder="1" applyAlignment="1">
      <alignment horizontal="center" vertical="center" wrapText="1"/>
    </xf>
    <xf numFmtId="0" fontId="5" fillId="0" borderId="0" xfId="0" applyFont="1" applyBorder="1" applyAlignment="1">
      <alignment horizontal="center" vertical="center" wrapText="1"/>
    </xf>
    <xf numFmtId="0" fontId="11" fillId="2" borderId="1" xfId="0" applyFont="1" applyFill="1" applyBorder="1" applyAlignment="1" applyProtection="1">
      <alignment vertical="top" wrapText="1"/>
      <protection locked="0"/>
    </xf>
    <xf numFmtId="0" fontId="13" fillId="8" borderId="1" xfId="0" applyFont="1" applyFill="1" applyBorder="1" applyAlignment="1">
      <alignment horizontal="left" vertical="center" wrapText="1"/>
    </xf>
    <xf numFmtId="0" fontId="66" fillId="17" borderId="2" xfId="0" applyFont="1" applyFill="1" applyBorder="1" applyAlignment="1">
      <alignment horizontal="center" vertical="center" wrapText="1"/>
    </xf>
    <xf numFmtId="0" fontId="66" fillId="17" borderId="4" xfId="0" applyFont="1" applyFill="1" applyBorder="1" applyAlignment="1">
      <alignment horizontal="center" vertical="center" wrapText="1"/>
    </xf>
    <xf numFmtId="0" fontId="17" fillId="18" borderId="34" xfId="0" applyFont="1" applyFill="1" applyBorder="1" applyAlignment="1">
      <alignment horizontal="center" vertical="center" wrapText="1"/>
    </xf>
    <xf numFmtId="0" fontId="13" fillId="8" borderId="29" xfId="0" applyFont="1" applyFill="1" applyBorder="1" applyAlignment="1">
      <alignment horizontal="right" vertical="center" wrapText="1"/>
    </xf>
    <xf numFmtId="0" fontId="13" fillId="8" borderId="30" xfId="0" applyFont="1" applyFill="1" applyBorder="1" applyAlignment="1">
      <alignment horizontal="right" vertical="center" wrapText="1"/>
    </xf>
    <xf numFmtId="0" fontId="13" fillId="8" borderId="31" xfId="0" applyFont="1" applyFill="1" applyBorder="1" applyAlignment="1">
      <alignment horizontal="right" vertical="center" wrapText="1"/>
    </xf>
    <xf numFmtId="0" fontId="107" fillId="2" borderId="0" xfId="0" applyFont="1" applyFill="1" applyAlignment="1">
      <alignment horizontal="center" vertical="center" wrapText="1"/>
    </xf>
    <xf numFmtId="0" fontId="46" fillId="2" borderId="0" xfId="0" applyFont="1" applyFill="1" applyAlignment="1">
      <alignment horizontal="center" vertical="top" wrapText="1"/>
    </xf>
    <xf numFmtId="0" fontId="17" fillId="18" borderId="35" xfId="0" applyFont="1" applyFill="1" applyBorder="1" applyAlignment="1">
      <alignment horizontal="center" vertical="center" wrapText="1"/>
    </xf>
    <xf numFmtId="0" fontId="17" fillId="18" borderId="3" xfId="0" applyFont="1" applyFill="1" applyBorder="1" applyAlignment="1">
      <alignment horizontal="center" vertical="center" wrapText="1"/>
    </xf>
    <xf numFmtId="0" fontId="17" fillId="18" borderId="13" xfId="0" applyFont="1" applyFill="1" applyBorder="1" applyAlignment="1">
      <alignment horizontal="left" vertical="center" wrapText="1"/>
    </xf>
    <xf numFmtId="0" fontId="17" fillId="18" borderId="10" xfId="0" applyFont="1" applyFill="1" applyBorder="1" applyAlignment="1">
      <alignment horizontal="left" vertical="center" wrapText="1"/>
    </xf>
    <xf numFmtId="0" fontId="17" fillId="18" borderId="3" xfId="0" applyFont="1" applyFill="1" applyBorder="1" applyAlignment="1">
      <alignment horizontal="left" vertical="center" wrapText="1"/>
    </xf>
    <xf numFmtId="0" fontId="56" fillId="16" borderId="2" xfId="0" applyFont="1" applyFill="1" applyBorder="1" applyAlignment="1">
      <alignment horizontal="center" vertical="center" wrapText="1"/>
    </xf>
    <xf numFmtId="0" fontId="56" fillId="16" borderId="4" xfId="0" applyFont="1" applyFill="1" applyBorder="1" applyAlignment="1">
      <alignment horizontal="center" vertical="center" wrapText="1"/>
    </xf>
    <xf numFmtId="0" fontId="17" fillId="18" borderId="13" xfId="0" applyFont="1" applyFill="1" applyBorder="1" applyAlignment="1">
      <alignment horizontal="center" vertical="center" wrapText="1"/>
    </xf>
    <xf numFmtId="0" fontId="17" fillId="18" borderId="10" xfId="0" applyFont="1" applyFill="1" applyBorder="1" applyAlignment="1">
      <alignment horizontal="center" vertical="center" wrapText="1"/>
    </xf>
    <xf numFmtId="0" fontId="17" fillId="18" borderId="1" xfId="0" applyFont="1" applyFill="1" applyBorder="1" applyAlignment="1">
      <alignment horizontal="left" vertical="center" wrapText="1"/>
    </xf>
    <xf numFmtId="0" fontId="79" fillId="23" borderId="24" xfId="0" applyFont="1" applyFill="1" applyBorder="1" applyAlignment="1">
      <alignment horizontal="center" vertical="center" wrapText="1"/>
    </xf>
    <xf numFmtId="0" fontId="79" fillId="23" borderId="0" xfId="0" applyFont="1" applyFill="1" applyBorder="1" applyAlignment="1">
      <alignment horizontal="center" vertical="center" wrapText="1"/>
    </xf>
    <xf numFmtId="0" fontId="52" fillId="9" borderId="13" xfId="0" applyFont="1" applyFill="1" applyBorder="1" applyAlignment="1">
      <alignment horizontal="left" vertical="top" wrapText="1"/>
    </xf>
    <xf numFmtId="0" fontId="52" fillId="9" borderId="10" xfId="0" applyFont="1" applyFill="1" applyBorder="1" applyAlignment="1">
      <alignment horizontal="left" vertical="top" wrapText="1"/>
    </xf>
    <xf numFmtId="0" fontId="52" fillId="9" borderId="3" xfId="0" applyFont="1" applyFill="1" applyBorder="1" applyAlignment="1">
      <alignment horizontal="left" vertical="top" wrapText="1"/>
    </xf>
    <xf numFmtId="172" fontId="77" fillId="14" borderId="0" xfId="0" applyNumberFormat="1" applyFont="1" applyFill="1" applyBorder="1" applyAlignment="1">
      <alignment horizontal="center" vertical="center" wrapText="1"/>
    </xf>
    <xf numFmtId="0" fontId="3" fillId="0" borderId="0" xfId="0" applyFont="1" applyBorder="1" applyAlignment="1">
      <alignment horizontal="center" vertical="center" wrapText="1"/>
    </xf>
    <xf numFmtId="0" fontId="5" fillId="2" borderId="1" xfId="0" applyFont="1" applyFill="1" applyBorder="1" applyAlignment="1">
      <alignment horizontal="left" vertical="center" wrapText="1"/>
    </xf>
    <xf numFmtId="0" fontId="4" fillId="2" borderId="1" xfId="0" applyFont="1" applyFill="1" applyBorder="1" applyAlignment="1">
      <alignment horizontal="left" vertical="center" wrapText="1"/>
    </xf>
    <xf numFmtId="0" fontId="6" fillId="3" borderId="1" xfId="0" applyFont="1" applyFill="1" applyBorder="1" applyAlignment="1">
      <alignment horizontal="left" vertical="center" wrapText="1"/>
    </xf>
    <xf numFmtId="0" fontId="20" fillId="21" borderId="1" xfId="0" applyFont="1" applyFill="1" applyBorder="1" applyAlignment="1">
      <alignment horizontal="left" vertical="center" wrapText="1"/>
    </xf>
    <xf numFmtId="172" fontId="20" fillId="21" borderId="1" xfId="0" applyNumberFormat="1" applyFont="1" applyFill="1" applyBorder="1" applyAlignment="1">
      <alignment horizontal="left" vertical="center" wrapText="1"/>
    </xf>
    <xf numFmtId="0" fontId="4" fillId="3" borderId="1" xfId="0" applyFont="1" applyFill="1" applyBorder="1" applyAlignment="1">
      <alignment horizontal="left" vertical="center" wrapText="1"/>
    </xf>
    <xf numFmtId="0" fontId="4" fillId="2" borderId="13" xfId="0" applyFont="1" applyFill="1" applyBorder="1" applyAlignment="1">
      <alignment horizontal="left" vertical="center" wrapText="1"/>
    </xf>
    <xf numFmtId="0" fontId="4" fillId="2" borderId="3" xfId="0" applyFont="1" applyFill="1" applyBorder="1" applyAlignment="1">
      <alignment horizontal="left" vertical="center" wrapText="1"/>
    </xf>
    <xf numFmtId="0" fontId="8" fillId="5" borderId="13" xfId="0" applyFont="1" applyFill="1" applyBorder="1" applyAlignment="1" applyProtection="1">
      <alignment horizontal="left" vertical="top" wrapText="1"/>
      <protection locked="0"/>
    </xf>
    <xf numFmtId="0" fontId="11" fillId="5" borderId="10" xfId="0" applyFont="1" applyFill="1" applyBorder="1" applyAlignment="1" applyProtection="1">
      <alignment horizontal="left" vertical="top" wrapText="1"/>
      <protection locked="0"/>
    </xf>
    <xf numFmtId="0" fontId="11" fillId="5" borderId="3" xfId="0" applyFont="1" applyFill="1" applyBorder="1" applyAlignment="1" applyProtection="1">
      <alignment horizontal="left" vertical="top" wrapText="1"/>
      <protection locked="0"/>
    </xf>
    <xf numFmtId="0" fontId="38" fillId="20" borderId="26" xfId="0" applyFont="1" applyFill="1" applyBorder="1" applyAlignment="1">
      <alignment horizontal="left" vertical="center" wrapText="1"/>
    </xf>
    <xf numFmtId="0" fontId="38" fillId="20" borderId="27" xfId="0" applyFont="1" applyFill="1" applyBorder="1" applyAlignment="1">
      <alignment horizontal="left" vertical="center" wrapText="1"/>
    </xf>
    <xf numFmtId="0" fontId="79" fillId="23" borderId="2" xfId="0" applyFont="1" applyFill="1" applyBorder="1" applyAlignment="1">
      <alignment horizontal="center" vertical="center" wrapText="1"/>
    </xf>
    <xf numFmtId="0" fontId="79" fillId="23" borderId="4" xfId="0" applyFont="1" applyFill="1" applyBorder="1" applyAlignment="1">
      <alignment horizontal="center" vertical="center" wrapText="1"/>
    </xf>
    <xf numFmtId="0" fontId="33" fillId="14" borderId="24" xfId="0" applyFont="1" applyFill="1" applyBorder="1" applyAlignment="1">
      <alignment horizontal="left" vertical="top" wrapText="1"/>
    </xf>
    <xf numFmtId="0" fontId="33" fillId="14" borderId="0" xfId="0" applyFont="1" applyFill="1" applyBorder="1" applyAlignment="1">
      <alignment horizontal="left" vertical="top" wrapText="1"/>
    </xf>
    <xf numFmtId="0" fontId="79" fillId="23" borderId="13" xfId="0" applyFont="1" applyFill="1" applyBorder="1" applyAlignment="1">
      <alignment horizontal="center" vertical="center" wrapText="1"/>
    </xf>
    <xf numFmtId="0" fontId="79" fillId="23" borderId="10" xfId="0" applyFont="1" applyFill="1" applyBorder="1" applyAlignment="1">
      <alignment horizontal="center" vertical="center" wrapText="1"/>
    </xf>
    <xf numFmtId="0" fontId="79" fillId="23" borderId="3" xfId="0" applyFont="1" applyFill="1" applyBorder="1" applyAlignment="1">
      <alignment horizontal="center" vertical="center" wrapText="1"/>
    </xf>
    <xf numFmtId="0" fontId="19" fillId="9" borderId="0" xfId="0" applyFont="1" applyFill="1" applyBorder="1" applyAlignment="1">
      <alignment horizontal="left" vertical="center" wrapText="1"/>
    </xf>
    <xf numFmtId="0" fontId="6" fillId="2" borderId="1" xfId="0" applyFont="1" applyFill="1" applyBorder="1" applyAlignment="1">
      <alignment horizontal="left" vertical="center" wrapText="1"/>
    </xf>
    <xf numFmtId="0" fontId="14" fillId="18" borderId="13" xfId="0" applyFont="1" applyFill="1" applyBorder="1" applyAlignment="1">
      <alignment horizontal="center" vertical="center" wrapText="1"/>
    </xf>
    <xf numFmtId="0" fontId="14" fillId="18" borderId="10" xfId="0" applyFont="1" applyFill="1" applyBorder="1" applyAlignment="1">
      <alignment horizontal="center" vertical="center" wrapText="1"/>
    </xf>
    <xf numFmtId="0" fontId="14" fillId="18" borderId="3" xfId="0" applyFont="1" applyFill="1" applyBorder="1" applyAlignment="1">
      <alignment horizontal="center" vertical="center" wrapText="1"/>
    </xf>
    <xf numFmtId="165" fontId="14" fillId="18" borderId="1" xfId="0" applyNumberFormat="1" applyFont="1" applyFill="1" applyBorder="1" applyAlignment="1">
      <alignment horizontal="center" vertical="center" wrapText="1"/>
    </xf>
    <xf numFmtId="0" fontId="35" fillId="21" borderId="1" xfId="0" applyFont="1" applyFill="1" applyBorder="1" applyAlignment="1">
      <alignment horizontal="left" vertical="center" wrapText="1"/>
    </xf>
    <xf numFmtId="0" fontId="14" fillId="18" borderId="13" xfId="0" applyFont="1" applyFill="1" applyBorder="1" applyAlignment="1" applyProtection="1">
      <alignment horizontal="left" vertical="center"/>
      <protection locked="0"/>
    </xf>
    <xf numFmtId="0" fontId="14" fillId="18" borderId="10" xfId="0" applyFont="1" applyFill="1" applyBorder="1" applyAlignment="1" applyProtection="1">
      <alignment horizontal="left" vertical="center"/>
      <protection locked="0"/>
    </xf>
    <xf numFmtId="0" fontId="14" fillId="18" borderId="13" xfId="0" applyFont="1" applyFill="1" applyBorder="1" applyAlignment="1">
      <alignment horizontal="center" vertical="center"/>
    </xf>
    <xf numFmtId="0" fontId="14" fillId="18" borderId="10" xfId="0" applyFont="1" applyFill="1" applyBorder="1" applyAlignment="1">
      <alignment horizontal="center" vertical="center"/>
    </xf>
    <xf numFmtId="0" fontId="14" fillId="18" borderId="17" xfId="0" applyFont="1" applyFill="1" applyBorder="1" applyAlignment="1">
      <alignment horizontal="center" vertical="center" wrapText="1"/>
    </xf>
    <xf numFmtId="0" fontId="14" fillId="18" borderId="19" xfId="0" applyFont="1" applyFill="1" applyBorder="1" applyAlignment="1">
      <alignment horizontal="center" vertical="center" wrapText="1"/>
    </xf>
    <xf numFmtId="0" fontId="14" fillId="18" borderId="26" xfId="0" applyFont="1" applyFill="1" applyBorder="1" applyAlignment="1">
      <alignment horizontal="center" vertical="center" wrapText="1"/>
    </xf>
    <xf numFmtId="0" fontId="14" fillId="18" borderId="28" xfId="0" applyFont="1" applyFill="1" applyBorder="1" applyAlignment="1">
      <alignment horizontal="center" vertical="center" wrapText="1"/>
    </xf>
    <xf numFmtId="165" fontId="14" fillId="18" borderId="13" xfId="0" applyNumberFormat="1" applyFont="1" applyFill="1" applyBorder="1" applyAlignment="1" applyProtection="1">
      <alignment horizontal="center" vertical="center" wrapText="1"/>
    </xf>
    <xf numFmtId="165" fontId="14" fillId="18" borderId="3" xfId="0" applyNumberFormat="1" applyFont="1" applyFill="1" applyBorder="1" applyAlignment="1" applyProtection="1">
      <alignment horizontal="center" vertical="center" wrapText="1"/>
    </xf>
    <xf numFmtId="0" fontId="64" fillId="2" borderId="18" xfId="0" applyFont="1" applyFill="1" applyBorder="1" applyAlignment="1">
      <alignment horizontal="left" vertical="center"/>
    </xf>
    <xf numFmtId="41" fontId="14" fillId="18" borderId="2" xfId="0" applyNumberFormat="1" applyFont="1" applyFill="1" applyBorder="1" applyAlignment="1" applyProtection="1">
      <alignment horizontal="center" vertical="center" wrapText="1"/>
    </xf>
    <xf numFmtId="41" fontId="14" fillId="18" borderId="4" xfId="0" applyNumberFormat="1" applyFont="1" applyFill="1" applyBorder="1" applyAlignment="1" applyProtection="1">
      <alignment horizontal="center" vertical="center" wrapText="1"/>
    </xf>
    <xf numFmtId="0" fontId="13" fillId="18" borderId="13" xfId="0" applyFont="1" applyFill="1" applyBorder="1" applyAlignment="1" applyProtection="1">
      <alignment horizontal="center" vertical="center"/>
      <protection locked="0"/>
    </xf>
    <xf numFmtId="0" fontId="13" fillId="18" borderId="10" xfId="0" applyFont="1" applyFill="1" applyBorder="1" applyAlignment="1" applyProtection="1">
      <alignment horizontal="center" vertical="center"/>
      <protection locked="0"/>
    </xf>
    <xf numFmtId="0" fontId="13" fillId="18" borderId="3" xfId="0" applyFont="1" applyFill="1" applyBorder="1" applyAlignment="1" applyProtection="1">
      <alignment horizontal="center" vertical="center"/>
      <protection locked="0"/>
    </xf>
    <xf numFmtId="41" fontId="14" fillId="18" borderId="1" xfId="0" applyNumberFormat="1" applyFont="1" applyFill="1" applyBorder="1" applyAlignment="1">
      <alignment horizontal="center" vertical="center" wrapText="1"/>
    </xf>
    <xf numFmtId="0" fontId="8" fillId="19" borderId="1" xfId="0" applyFont="1" applyFill="1" applyBorder="1" applyAlignment="1">
      <alignment horizontal="center" vertical="center" wrapText="1"/>
    </xf>
    <xf numFmtId="0" fontId="8" fillId="9" borderId="0" xfId="0" applyFont="1" applyFill="1" applyBorder="1" applyAlignment="1">
      <alignment horizontal="left"/>
    </xf>
    <xf numFmtId="0" fontId="14" fillId="18" borderId="1" xfId="0" applyFont="1" applyFill="1" applyBorder="1" applyAlignment="1">
      <alignment horizontal="center" vertical="center" textRotation="90"/>
    </xf>
    <xf numFmtId="0" fontId="20" fillId="9" borderId="1" xfId="0" applyFont="1" applyFill="1" applyBorder="1" applyAlignment="1">
      <alignment horizontal="left" vertical="center"/>
    </xf>
    <xf numFmtId="41" fontId="8" fillId="2" borderId="1" xfId="0" applyNumberFormat="1" applyFont="1" applyFill="1" applyBorder="1" applyAlignment="1">
      <alignment horizontal="left" vertical="center" wrapText="1"/>
    </xf>
    <xf numFmtId="0" fontId="20" fillId="2" borderId="1" xfId="0" applyFont="1" applyFill="1" applyBorder="1" applyAlignment="1">
      <alignment horizontal="left" vertical="center"/>
    </xf>
    <xf numFmtId="41" fontId="14" fillId="18" borderId="1" xfId="0" applyNumberFormat="1" applyFont="1" applyFill="1" applyBorder="1" applyAlignment="1">
      <alignment horizontal="left" vertical="center" wrapText="1"/>
    </xf>
    <xf numFmtId="0" fontId="8" fillId="2" borderId="0" xfId="0" applyFont="1" applyFill="1" applyBorder="1" applyAlignment="1">
      <alignment horizontal="center" vertical="center" wrapText="1"/>
    </xf>
    <xf numFmtId="0" fontId="11" fillId="5" borderId="14" xfId="0" applyFont="1" applyFill="1" applyBorder="1" applyAlignment="1">
      <alignment horizontal="center" vertical="center" wrapText="1"/>
    </xf>
    <xf numFmtId="0" fontId="11" fillId="5" borderId="15" xfId="0" applyFont="1" applyFill="1" applyBorder="1" applyAlignment="1">
      <alignment horizontal="center" vertical="center" wrapText="1"/>
    </xf>
    <xf numFmtId="0" fontId="11" fillId="5" borderId="5" xfId="0" applyFont="1" applyFill="1" applyBorder="1" applyAlignment="1">
      <alignment horizontal="center" vertical="center" wrapText="1"/>
    </xf>
    <xf numFmtId="0" fontId="11" fillId="5" borderId="0" xfId="0" applyFont="1" applyFill="1" applyBorder="1" applyAlignment="1">
      <alignment horizontal="center" vertical="center" wrapText="1"/>
    </xf>
    <xf numFmtId="0" fontId="66" fillId="2" borderId="0" xfId="0" applyFont="1" applyFill="1" applyAlignment="1">
      <alignment horizontal="center" vertical="center" wrapText="1"/>
    </xf>
    <xf numFmtId="0" fontId="14" fillId="18" borderId="1" xfId="0" applyFont="1" applyFill="1" applyBorder="1" applyAlignment="1">
      <alignment horizontal="left" vertical="center" wrapText="1"/>
    </xf>
    <xf numFmtId="0" fontId="14" fillId="18" borderId="2" xfId="0" applyFont="1" applyFill="1" applyBorder="1" applyAlignment="1">
      <alignment horizontal="center" vertical="center" textRotation="90"/>
    </xf>
    <xf numFmtId="0" fontId="14" fillId="18" borderId="32" xfId="0" applyFont="1" applyFill="1" applyBorder="1" applyAlignment="1">
      <alignment horizontal="center" vertical="center" textRotation="90"/>
    </xf>
    <xf numFmtId="0" fontId="14" fillId="18" borderId="4" xfId="0" applyFont="1" applyFill="1" applyBorder="1" applyAlignment="1">
      <alignment horizontal="center" vertical="center" textRotation="90"/>
    </xf>
    <xf numFmtId="0" fontId="8" fillId="13" borderId="17" xfId="0" applyFont="1" applyFill="1" applyBorder="1" applyAlignment="1">
      <alignment horizontal="center" vertical="center" wrapText="1"/>
    </xf>
    <xf numFmtId="0" fontId="8" fillId="13" borderId="19" xfId="0" applyFont="1" applyFill="1" applyBorder="1" applyAlignment="1">
      <alignment horizontal="center" vertical="center" wrapText="1"/>
    </xf>
    <xf numFmtId="0" fontId="8" fillId="13" borderId="26" xfId="0" applyFont="1" applyFill="1" applyBorder="1" applyAlignment="1">
      <alignment horizontal="center" vertical="center" wrapText="1"/>
    </xf>
    <xf numFmtId="0" fontId="8" fillId="13" borderId="28" xfId="0" applyFont="1" applyFill="1" applyBorder="1" applyAlignment="1">
      <alignment horizontal="center" vertical="center" wrapText="1"/>
    </xf>
    <xf numFmtId="0" fontId="8" fillId="13" borderId="1" xfId="0" applyFont="1" applyFill="1" applyBorder="1" applyAlignment="1">
      <alignment horizontal="center" vertical="center" wrapText="1"/>
    </xf>
    <xf numFmtId="0" fontId="8" fillId="19" borderId="17" xfId="0" applyFont="1" applyFill="1" applyBorder="1" applyAlignment="1">
      <alignment horizontal="center" vertical="center" wrapText="1"/>
    </xf>
    <xf numFmtId="0" fontId="8" fillId="19" borderId="18" xfId="0" applyFont="1" applyFill="1" applyBorder="1" applyAlignment="1">
      <alignment horizontal="center" vertical="center" wrapText="1"/>
    </xf>
    <xf numFmtId="0" fontId="8" fillId="19" borderId="19" xfId="0" applyFont="1" applyFill="1" applyBorder="1" applyAlignment="1">
      <alignment horizontal="center" vertical="center" wrapText="1"/>
    </xf>
    <xf numFmtId="0" fontId="8" fillId="19" borderId="24" xfId="0" applyFont="1" applyFill="1" applyBorder="1" applyAlignment="1">
      <alignment horizontal="center" vertical="center" wrapText="1"/>
    </xf>
    <xf numFmtId="0" fontId="8" fillId="19" borderId="0" xfId="0" applyFont="1" applyFill="1" applyBorder="1" applyAlignment="1">
      <alignment horizontal="center" vertical="center" wrapText="1"/>
    </xf>
    <xf numFmtId="0" fontId="8" fillId="19" borderId="25" xfId="0" applyFont="1" applyFill="1" applyBorder="1" applyAlignment="1">
      <alignment horizontal="center" vertical="center" wrapText="1"/>
    </xf>
    <xf numFmtId="0" fontId="8" fillId="19" borderId="26" xfId="0" applyFont="1" applyFill="1" applyBorder="1" applyAlignment="1">
      <alignment horizontal="center" vertical="center" wrapText="1"/>
    </xf>
    <xf numFmtId="0" fontId="8" fillId="19" borderId="27" xfId="0" applyFont="1" applyFill="1" applyBorder="1" applyAlignment="1">
      <alignment horizontal="center" vertical="center" wrapText="1"/>
    </xf>
    <xf numFmtId="0" fontId="8" fillId="19" borderId="28" xfId="0" applyFont="1" applyFill="1" applyBorder="1" applyAlignment="1">
      <alignment horizontal="center" vertical="center" wrapText="1"/>
    </xf>
    <xf numFmtId="0" fontId="11" fillId="13" borderId="17" xfId="0" applyFont="1" applyFill="1" applyBorder="1" applyAlignment="1">
      <alignment horizontal="center" vertical="center" wrapText="1"/>
    </xf>
    <xf numFmtId="0" fontId="11" fillId="13" borderId="18" xfId="0" applyFont="1" applyFill="1" applyBorder="1" applyAlignment="1">
      <alignment horizontal="center" vertical="center" wrapText="1"/>
    </xf>
    <xf numFmtId="0" fontId="11" fillId="13" borderId="19" xfId="0" applyFont="1" applyFill="1" applyBorder="1" applyAlignment="1">
      <alignment horizontal="center" vertical="center" wrapText="1"/>
    </xf>
    <xf numFmtId="0" fontId="11" fillId="13" borderId="24" xfId="0" applyFont="1" applyFill="1" applyBorder="1" applyAlignment="1">
      <alignment horizontal="center" vertical="center" wrapText="1"/>
    </xf>
    <xf numFmtId="0" fontId="11" fillId="13" borderId="0" xfId="0" applyFont="1" applyFill="1" applyBorder="1" applyAlignment="1">
      <alignment horizontal="center" vertical="center" wrapText="1"/>
    </xf>
    <xf numFmtId="0" fontId="11" fillId="13" borderId="25" xfId="0" applyFont="1" applyFill="1" applyBorder="1" applyAlignment="1">
      <alignment horizontal="center" vertical="center" wrapText="1"/>
    </xf>
    <xf numFmtId="0" fontId="11" fillId="13" borderId="26" xfId="0" applyFont="1" applyFill="1" applyBorder="1" applyAlignment="1">
      <alignment horizontal="center" vertical="center" wrapText="1"/>
    </xf>
    <xf numFmtId="0" fontId="11" fillId="13" borderId="27" xfId="0" applyFont="1" applyFill="1" applyBorder="1" applyAlignment="1">
      <alignment horizontal="center" vertical="center" wrapText="1"/>
    </xf>
    <xf numFmtId="0" fontId="11" fillId="13" borderId="28" xfId="0" applyFont="1" applyFill="1" applyBorder="1" applyAlignment="1">
      <alignment horizontal="center" vertical="center" wrapText="1"/>
    </xf>
    <xf numFmtId="0" fontId="8" fillId="13" borderId="2" xfId="0" applyFont="1" applyFill="1" applyBorder="1" applyAlignment="1">
      <alignment horizontal="center" vertical="center" wrapText="1"/>
    </xf>
    <xf numFmtId="0" fontId="8" fillId="13" borderId="4" xfId="0" applyFont="1" applyFill="1" applyBorder="1" applyAlignment="1">
      <alignment horizontal="center" vertical="center" wrapText="1"/>
    </xf>
    <xf numFmtId="0" fontId="8" fillId="19" borderId="2" xfId="0" applyFont="1" applyFill="1" applyBorder="1" applyAlignment="1">
      <alignment horizontal="center" vertical="center" wrapText="1"/>
    </xf>
    <xf numFmtId="0" fontId="8" fillId="19" borderId="4" xfId="0" applyFont="1" applyFill="1" applyBorder="1" applyAlignment="1">
      <alignment horizontal="center" vertical="center" wrapText="1"/>
    </xf>
    <xf numFmtId="0" fontId="50" fillId="5" borderId="17" xfId="0" applyFont="1" applyFill="1" applyBorder="1" applyAlignment="1">
      <alignment horizontal="justify" vertical="top" wrapText="1"/>
    </xf>
    <xf numFmtId="0" fontId="50" fillId="5" borderId="18" xfId="0" applyFont="1" applyFill="1" applyBorder="1" applyAlignment="1">
      <alignment horizontal="justify" vertical="top" wrapText="1"/>
    </xf>
    <xf numFmtId="0" fontId="50" fillId="5" borderId="19" xfId="0" applyFont="1" applyFill="1" applyBorder="1" applyAlignment="1">
      <alignment horizontal="justify" vertical="top" wrapText="1"/>
    </xf>
    <xf numFmtId="0" fontId="50" fillId="5" borderId="24" xfId="0" applyFont="1" applyFill="1" applyBorder="1" applyAlignment="1">
      <alignment horizontal="justify" vertical="top" wrapText="1"/>
    </xf>
    <xf numFmtId="0" fontId="50" fillId="5" borderId="0" xfId="0" applyFont="1" applyFill="1" applyBorder="1" applyAlignment="1">
      <alignment horizontal="justify" vertical="top" wrapText="1"/>
    </xf>
    <xf numFmtId="0" fontId="50" fillId="5" borderId="25" xfId="0" applyFont="1" applyFill="1" applyBorder="1" applyAlignment="1">
      <alignment horizontal="justify" vertical="top" wrapText="1"/>
    </xf>
    <xf numFmtId="0" fontId="50" fillId="5" borderId="26" xfId="0" applyFont="1" applyFill="1" applyBorder="1" applyAlignment="1">
      <alignment horizontal="justify" vertical="top" wrapText="1"/>
    </xf>
    <xf numFmtId="0" fontId="50" fillId="5" borderId="27" xfId="0" applyFont="1" applyFill="1" applyBorder="1" applyAlignment="1">
      <alignment horizontal="justify" vertical="top" wrapText="1"/>
    </xf>
    <xf numFmtId="0" fontId="50" fillId="5" borderId="28" xfId="0" applyFont="1" applyFill="1" applyBorder="1" applyAlignment="1">
      <alignment horizontal="justify" vertical="top" wrapText="1"/>
    </xf>
    <xf numFmtId="0" fontId="86" fillId="0" borderId="24" xfId="0" applyFont="1" applyBorder="1" applyAlignment="1">
      <alignment horizontal="center" vertical="center"/>
    </xf>
    <xf numFmtId="0" fontId="17" fillId="18" borderId="1" xfId="0" applyFont="1" applyFill="1" applyBorder="1" applyAlignment="1">
      <alignment horizontal="right" vertical="center" wrapText="1"/>
    </xf>
    <xf numFmtId="170" fontId="17" fillId="18" borderId="1" xfId="4" applyNumberFormat="1" applyFont="1" applyFill="1" applyBorder="1" applyAlignment="1">
      <alignment horizontal="center" vertical="center" wrapText="1"/>
    </xf>
    <xf numFmtId="0" fontId="83" fillId="18" borderId="13" xfId="0" applyFont="1" applyFill="1" applyBorder="1" applyAlignment="1">
      <alignment horizontal="left" vertical="center"/>
    </xf>
    <xf numFmtId="0" fontId="83" fillId="18" borderId="10" xfId="0" applyFont="1" applyFill="1" applyBorder="1" applyAlignment="1">
      <alignment horizontal="left" vertical="center"/>
    </xf>
    <xf numFmtId="0" fontId="83" fillId="18" borderId="3" xfId="0" applyFont="1" applyFill="1" applyBorder="1" applyAlignment="1">
      <alignment horizontal="left" vertical="center"/>
    </xf>
    <xf numFmtId="164" fontId="83" fillId="18" borderId="1" xfId="4" applyFont="1" applyFill="1" applyBorder="1" applyAlignment="1">
      <alignment horizontal="center" vertical="center" wrapText="1"/>
    </xf>
    <xf numFmtId="0" fontId="83" fillId="18" borderId="1" xfId="0" applyFont="1" applyFill="1" applyBorder="1" applyAlignment="1">
      <alignment horizontal="center" vertical="center" wrapText="1"/>
    </xf>
    <xf numFmtId="0" fontId="83" fillId="18" borderId="1" xfId="0" applyFont="1" applyFill="1" applyBorder="1" applyAlignment="1">
      <alignment horizontal="center" vertical="center"/>
    </xf>
    <xf numFmtId="0" fontId="17" fillId="18" borderId="1" xfId="0" applyFont="1" applyFill="1" applyBorder="1" applyAlignment="1" applyProtection="1">
      <alignment horizontal="left" vertical="center"/>
      <protection locked="0"/>
    </xf>
    <xf numFmtId="0" fontId="17" fillId="18" borderId="17" xfId="0" applyFont="1" applyFill="1" applyBorder="1" applyAlignment="1">
      <alignment horizontal="left" vertical="center"/>
    </xf>
    <xf numFmtId="0" fontId="17" fillId="18" borderId="18" xfId="0" applyFont="1" applyFill="1" applyBorder="1" applyAlignment="1">
      <alignment horizontal="left" vertical="center"/>
    </xf>
    <xf numFmtId="0" fontId="17" fillId="18" borderId="10" xfId="0" applyFont="1" applyFill="1" applyBorder="1" applyAlignment="1">
      <alignment horizontal="left" vertical="center"/>
    </xf>
    <xf numFmtId="0" fontId="17" fillId="18" borderId="3" xfId="0" applyFont="1" applyFill="1" applyBorder="1" applyAlignment="1">
      <alignment horizontal="left" vertical="center"/>
    </xf>
    <xf numFmtId="0" fontId="17" fillId="18" borderId="1" xfId="0" applyFont="1" applyFill="1" applyBorder="1" applyAlignment="1">
      <alignment horizontal="center" vertical="center" wrapText="1"/>
    </xf>
    <xf numFmtId="0" fontId="83" fillId="18" borderId="13" xfId="0" applyFont="1" applyFill="1" applyBorder="1" applyAlignment="1">
      <alignment horizontal="center" vertical="center"/>
    </xf>
    <xf numFmtId="0" fontId="83" fillId="18" borderId="10" xfId="0" applyFont="1" applyFill="1" applyBorder="1" applyAlignment="1">
      <alignment horizontal="center" vertical="center"/>
    </xf>
    <xf numFmtId="164" fontId="85" fillId="9" borderId="1" xfId="4" applyFont="1" applyFill="1" applyBorder="1" applyAlignment="1">
      <alignment horizontal="center" vertical="center" wrapText="1"/>
    </xf>
    <xf numFmtId="0" fontId="95" fillId="2" borderId="10" xfId="0" applyFont="1" applyFill="1" applyBorder="1" applyAlignment="1" applyProtection="1">
      <alignment horizontal="center" vertical="center" wrapText="1"/>
      <protection locked="0"/>
    </xf>
    <xf numFmtId="0" fontId="96" fillId="2" borderId="10" xfId="0" applyFont="1" applyFill="1" applyBorder="1" applyAlignment="1" applyProtection="1">
      <alignment horizontal="center" vertical="center" wrapText="1"/>
      <protection locked="0"/>
    </xf>
    <xf numFmtId="0" fontId="96" fillId="2" borderId="3" xfId="0" applyFont="1" applyFill="1" applyBorder="1" applyAlignment="1" applyProtection="1">
      <alignment horizontal="center" vertical="center" wrapText="1"/>
      <protection locked="0"/>
    </xf>
    <xf numFmtId="0" fontId="16" fillId="18" borderId="13" xfId="0" applyFont="1" applyFill="1" applyBorder="1" applyAlignment="1">
      <alignment horizontal="left" vertical="center" wrapText="1"/>
    </xf>
    <xf numFmtId="0" fontId="0" fillId="0" borderId="10" xfId="0" applyBorder="1" applyAlignment="1">
      <alignment horizontal="left" vertical="center" wrapText="1"/>
    </xf>
    <xf numFmtId="0" fontId="16" fillId="18" borderId="10" xfId="0" applyFont="1" applyFill="1" applyBorder="1" applyAlignment="1" applyProtection="1">
      <alignment horizontal="left" vertical="center" wrapText="1"/>
      <protection locked="0"/>
    </xf>
    <xf numFmtId="0" fontId="16" fillId="18" borderId="13" xfId="0" applyFont="1" applyFill="1" applyBorder="1" applyAlignment="1">
      <alignment horizontal="center" vertical="center" wrapText="1"/>
    </xf>
    <xf numFmtId="0" fontId="16" fillId="18" borderId="10" xfId="0" applyFont="1" applyFill="1" applyBorder="1" applyAlignment="1">
      <alignment horizontal="center" vertical="center" wrapText="1"/>
    </xf>
    <xf numFmtId="0" fontId="16" fillId="18" borderId="3" xfId="0" applyFont="1" applyFill="1" applyBorder="1" applyAlignment="1">
      <alignment horizontal="center" vertical="center" wrapText="1"/>
    </xf>
    <xf numFmtId="0" fontId="35" fillId="17" borderId="2" xfId="0" applyFont="1" applyFill="1" applyBorder="1" applyAlignment="1">
      <alignment horizontal="center" vertical="center" wrapText="1"/>
    </xf>
    <xf numFmtId="0" fontId="35" fillId="17" borderId="4" xfId="0" applyFont="1" applyFill="1" applyBorder="1" applyAlignment="1">
      <alignment horizontal="center" vertical="center" wrapText="1"/>
    </xf>
    <xf numFmtId="0" fontId="16" fillId="18" borderId="13" xfId="0" applyFont="1" applyFill="1" applyBorder="1" applyAlignment="1" applyProtection="1">
      <alignment horizontal="left" vertical="center" wrapText="1"/>
      <protection locked="0"/>
    </xf>
    <xf numFmtId="0" fontId="35" fillId="17" borderId="13" xfId="0" applyFont="1" applyFill="1" applyBorder="1" applyAlignment="1">
      <alignment horizontal="center" vertical="center" wrapText="1"/>
    </xf>
    <xf numFmtId="0" fontId="35" fillId="17" borderId="3" xfId="0" applyFont="1" applyFill="1" applyBorder="1" applyAlignment="1">
      <alignment horizontal="center" vertical="center" wrapText="1"/>
    </xf>
    <xf numFmtId="0" fontId="16" fillId="18" borderId="17" xfId="0" applyFont="1" applyFill="1" applyBorder="1" applyAlignment="1">
      <alignment horizontal="center" vertical="center" wrapText="1"/>
    </xf>
    <xf numFmtId="0" fontId="16" fillId="18" borderId="26" xfId="0" applyFont="1" applyFill="1" applyBorder="1" applyAlignment="1">
      <alignment horizontal="center" vertical="center" wrapText="1"/>
    </xf>
    <xf numFmtId="0" fontId="16" fillId="18" borderId="1" xfId="0" applyFont="1" applyFill="1" applyBorder="1" applyAlignment="1">
      <alignment horizontal="center" vertical="center" wrapText="1"/>
    </xf>
    <xf numFmtId="0" fontId="95" fillId="2" borderId="3" xfId="0" applyFont="1" applyFill="1" applyBorder="1" applyAlignment="1" applyProtection="1">
      <alignment horizontal="center" vertical="center" wrapText="1"/>
      <protection locked="0"/>
    </xf>
    <xf numFmtId="0" fontId="16" fillId="18" borderId="10" xfId="0" applyFont="1" applyFill="1" applyBorder="1" applyAlignment="1">
      <alignment horizontal="left" vertical="center" wrapText="1"/>
    </xf>
    <xf numFmtId="0" fontId="16" fillId="18" borderId="3" xfId="0" applyFont="1" applyFill="1" applyBorder="1" applyAlignment="1">
      <alignment horizontal="left" vertical="center" wrapText="1"/>
    </xf>
    <xf numFmtId="0" fontId="7" fillId="5" borderId="17" xfId="0" applyFont="1" applyFill="1" applyBorder="1" applyAlignment="1" applyProtection="1">
      <alignment horizontal="left" wrapText="1"/>
      <protection locked="0"/>
    </xf>
    <xf numFmtId="0" fontId="7" fillId="5" borderId="18" xfId="0" applyFont="1" applyFill="1" applyBorder="1" applyAlignment="1" applyProtection="1">
      <alignment horizontal="left" wrapText="1"/>
      <protection locked="0"/>
    </xf>
    <xf numFmtId="0" fontId="7" fillId="5" borderId="19" xfId="0" applyFont="1" applyFill="1" applyBorder="1" applyAlignment="1" applyProtection="1">
      <alignment horizontal="left" wrapText="1"/>
      <protection locked="0"/>
    </xf>
    <xf numFmtId="0" fontId="16" fillId="18" borderId="26" xfId="0" applyFont="1" applyFill="1" applyBorder="1" applyAlignment="1" applyProtection="1">
      <alignment horizontal="left" vertical="center" wrapText="1"/>
      <protection locked="0"/>
    </xf>
    <xf numFmtId="0" fontId="16" fillId="18" borderId="27" xfId="0" applyFont="1" applyFill="1" applyBorder="1" applyAlignment="1" applyProtection="1">
      <alignment horizontal="left" vertical="center" wrapText="1"/>
      <protection locked="0"/>
    </xf>
    <xf numFmtId="0" fontId="95" fillId="2" borderId="27" xfId="0" applyFont="1" applyFill="1" applyBorder="1" applyAlignment="1" applyProtection="1">
      <alignment horizontal="center" vertical="center" wrapText="1"/>
      <protection locked="0"/>
    </xf>
    <xf numFmtId="0" fontId="96" fillId="2" borderId="27" xfId="0" applyFont="1" applyFill="1" applyBorder="1" applyAlignment="1" applyProtection="1">
      <alignment horizontal="center" vertical="center" wrapText="1"/>
      <protection locked="0"/>
    </xf>
    <xf numFmtId="0" fontId="96" fillId="2" borderId="28" xfId="0" applyFont="1" applyFill="1" applyBorder="1" applyAlignment="1" applyProtection="1">
      <alignment horizontal="center" vertical="center" wrapText="1"/>
      <protection locked="0"/>
    </xf>
    <xf numFmtId="0" fontId="17" fillId="18" borderId="10" xfId="0" applyFont="1" applyFill="1" applyBorder="1" applyAlignment="1">
      <alignment horizontal="right" vertical="center" wrapText="1"/>
    </xf>
    <xf numFmtId="0" fontId="7" fillId="0" borderId="13" xfId="0" applyFont="1" applyFill="1" applyBorder="1" applyAlignment="1" applyProtection="1">
      <alignment horizontal="center" wrapText="1"/>
      <protection locked="0"/>
    </xf>
    <xf numFmtId="0" fontId="7" fillId="0" borderId="10" xfId="0" applyFont="1" applyFill="1" applyBorder="1" applyAlignment="1" applyProtection="1">
      <alignment horizontal="center" wrapText="1"/>
      <protection locked="0"/>
    </xf>
    <xf numFmtId="0" fontId="7" fillId="0" borderId="3" xfId="0" applyFont="1" applyFill="1" applyBorder="1" applyAlignment="1" applyProtection="1">
      <alignment horizontal="center" wrapText="1"/>
      <protection locked="0"/>
    </xf>
    <xf numFmtId="0" fontId="91" fillId="18" borderId="1" xfId="0" applyFont="1" applyFill="1" applyBorder="1" applyAlignment="1" applyProtection="1">
      <alignment horizontal="left" vertical="center"/>
      <protection locked="0"/>
    </xf>
    <xf numFmtId="0" fontId="15" fillId="9" borderId="18" xfId="0" applyFont="1" applyFill="1" applyBorder="1" applyAlignment="1">
      <alignment horizontal="left" vertical="center" wrapText="1"/>
    </xf>
    <xf numFmtId="0" fontId="15" fillId="9" borderId="19" xfId="0" applyFont="1" applyFill="1" applyBorder="1" applyAlignment="1">
      <alignment horizontal="left" vertical="center" wrapText="1"/>
    </xf>
    <xf numFmtId="0" fontId="95" fillId="0" borderId="10" xfId="0" applyFont="1" applyFill="1" applyBorder="1" applyAlignment="1" applyProtection="1">
      <alignment horizontal="center" vertical="center" wrapText="1"/>
      <protection locked="0"/>
    </xf>
    <xf numFmtId="0" fontId="96" fillId="0" borderId="10" xfId="0" applyFont="1" applyFill="1" applyBorder="1" applyAlignment="1" applyProtection="1">
      <alignment horizontal="center" vertical="center" wrapText="1"/>
      <protection locked="0"/>
    </xf>
    <xf numFmtId="0" fontId="96" fillId="0" borderId="3" xfId="0" applyFont="1" applyFill="1" applyBorder="1" applyAlignment="1" applyProtection="1">
      <alignment horizontal="center" vertical="center" wrapText="1"/>
      <protection locked="0"/>
    </xf>
    <xf numFmtId="0" fontId="34" fillId="5" borderId="17" xfId="0" applyFont="1" applyFill="1" applyBorder="1" applyAlignment="1">
      <alignment horizontal="justify" vertical="center" wrapText="1"/>
    </xf>
    <xf numFmtId="0" fontId="34" fillId="5" borderId="18" xfId="0" applyFont="1" applyFill="1" applyBorder="1" applyAlignment="1">
      <alignment horizontal="justify" vertical="center" wrapText="1"/>
    </xf>
    <xf numFmtId="0" fontId="34" fillId="5" borderId="19" xfId="0" applyFont="1" applyFill="1" applyBorder="1" applyAlignment="1">
      <alignment horizontal="justify" vertical="center" wrapText="1"/>
    </xf>
    <xf numFmtId="0" fontId="34" fillId="5" borderId="26" xfId="0" applyFont="1" applyFill="1" applyBorder="1" applyAlignment="1">
      <alignment horizontal="justify" vertical="center" wrapText="1"/>
    </xf>
    <xf numFmtId="0" fontId="34" fillId="5" borderId="27" xfId="0" applyFont="1" applyFill="1" applyBorder="1" applyAlignment="1">
      <alignment horizontal="justify" vertical="center" wrapText="1"/>
    </xf>
    <xf numFmtId="0" fontId="34" fillId="5" borderId="28" xfId="0" applyFont="1" applyFill="1" applyBorder="1" applyAlignment="1">
      <alignment horizontal="justify" vertical="center" wrapText="1"/>
    </xf>
    <xf numFmtId="0" fontId="16" fillId="18" borderId="2" xfId="0" applyFont="1" applyFill="1" applyBorder="1" applyAlignment="1">
      <alignment horizontal="center" vertical="center" wrapText="1"/>
    </xf>
    <xf numFmtId="0" fontId="16" fillId="18" borderId="4" xfId="0" applyFont="1" applyFill="1" applyBorder="1" applyAlignment="1">
      <alignment horizontal="center" vertical="center" wrapText="1"/>
    </xf>
    <xf numFmtId="0" fontId="21" fillId="8" borderId="1" xfId="0" applyFont="1" applyFill="1" applyBorder="1" applyAlignment="1">
      <alignment horizontal="center" vertical="center" wrapText="1"/>
    </xf>
    <xf numFmtId="0" fontId="65" fillId="19" borderId="2" xfId="0" applyFont="1" applyFill="1" applyBorder="1" applyAlignment="1">
      <alignment horizontal="center" vertical="center" wrapText="1"/>
    </xf>
    <xf numFmtId="0" fontId="65" fillId="19" borderId="32" xfId="0" applyFont="1" applyFill="1" applyBorder="1" applyAlignment="1">
      <alignment horizontal="center" vertical="center" wrapText="1"/>
    </xf>
    <xf numFmtId="0" fontId="65" fillId="19" borderId="4" xfId="0" applyFont="1" applyFill="1" applyBorder="1" applyAlignment="1">
      <alignment horizontal="center" vertical="center" wrapText="1"/>
    </xf>
    <xf numFmtId="0" fontId="65" fillId="13" borderId="2" xfId="0" quotePrefix="1" applyFont="1" applyFill="1" applyBorder="1" applyAlignment="1">
      <alignment horizontal="center" vertical="center" wrapText="1"/>
    </xf>
    <xf numFmtId="0" fontId="65" fillId="13" borderId="32" xfId="0" quotePrefix="1" applyFont="1" applyFill="1" applyBorder="1" applyAlignment="1">
      <alignment horizontal="center" vertical="center" wrapText="1"/>
    </xf>
    <xf numFmtId="0" fontId="65" fillId="13" borderId="4" xfId="0" quotePrefix="1" applyFont="1" applyFill="1" applyBorder="1" applyAlignment="1">
      <alignment horizontal="center" vertical="center" wrapText="1"/>
    </xf>
    <xf numFmtId="0" fontId="89" fillId="9" borderId="13" xfId="0" applyFont="1" applyFill="1" applyBorder="1" applyAlignment="1">
      <alignment horizontal="center" vertical="center"/>
    </xf>
    <xf numFmtId="0" fontId="89" fillId="9" borderId="3" xfId="0" applyFont="1" applyFill="1" applyBorder="1" applyAlignment="1">
      <alignment horizontal="center" vertical="center"/>
    </xf>
    <xf numFmtId="0" fontId="65" fillId="19" borderId="2" xfId="0" quotePrefix="1" applyFont="1" applyFill="1" applyBorder="1" applyAlignment="1">
      <alignment horizontal="center" vertical="center" wrapText="1"/>
    </xf>
    <xf numFmtId="0" fontId="65" fillId="19" borderId="32" xfId="0" quotePrefix="1" applyFont="1" applyFill="1" applyBorder="1" applyAlignment="1">
      <alignment horizontal="center" vertical="center" wrapText="1"/>
    </xf>
    <xf numFmtId="0" fontId="65" fillId="19" borderId="4" xfId="0" quotePrefix="1" applyFont="1" applyFill="1" applyBorder="1" applyAlignment="1">
      <alignment horizontal="center" vertical="center" wrapText="1"/>
    </xf>
    <xf numFmtId="0" fontId="65" fillId="13" borderId="2" xfId="0" applyFont="1" applyFill="1" applyBorder="1" applyAlignment="1">
      <alignment horizontal="center" vertical="center" wrapText="1"/>
    </xf>
    <xf numFmtId="0" fontId="65" fillId="13" borderId="4" xfId="0" applyFont="1" applyFill="1" applyBorder="1" applyAlignment="1">
      <alignment horizontal="center" vertical="center" wrapText="1"/>
    </xf>
    <xf numFmtId="0" fontId="66" fillId="2" borderId="0" xfId="0" applyFont="1" applyFill="1" applyAlignment="1">
      <alignment horizontal="right" vertical="center"/>
    </xf>
    <xf numFmtId="164" fontId="22" fillId="2" borderId="1" xfId="4" applyFont="1" applyFill="1" applyBorder="1" applyAlignment="1">
      <alignment horizontal="center" vertical="center" wrapText="1"/>
    </xf>
    <xf numFmtId="0" fontId="46" fillId="2" borderId="0" xfId="0" applyFont="1" applyFill="1" applyAlignment="1">
      <alignment horizontal="center" vertical="center" wrapText="1"/>
    </xf>
  </cellXfs>
  <cellStyles count="20">
    <cellStyle name="Bom" xfId="1" builtinId="26"/>
    <cellStyle name="Hiperlink" xfId="15" builtinId="8"/>
    <cellStyle name="Moeda 2" xfId="6" xr:uid="{00000000-0005-0000-0000-000002000000}"/>
    <cellStyle name="Moeda 2 2" xfId="16" xr:uid="{A76C4EFB-844A-478D-8668-4A7845224D13}"/>
    <cellStyle name="Neutro" xfId="2" builtinId="28"/>
    <cellStyle name="Normal" xfId="0" builtinId="0"/>
    <cellStyle name="Normal 2" xfId="5" xr:uid="{00000000-0005-0000-0000-000005000000}"/>
    <cellStyle name="Normal 2 2" xfId="14" xr:uid="{00000000-0005-0000-0000-000006000000}"/>
    <cellStyle name="Normal 3" xfId="8" xr:uid="{00000000-0005-0000-0000-000007000000}"/>
    <cellStyle name="Normal 3 2" xfId="9" xr:uid="{00000000-0005-0000-0000-000008000000}"/>
    <cellStyle name="Normal 3 2 2" xfId="13" xr:uid="{00000000-0005-0000-0000-000009000000}"/>
    <cellStyle name="Porcentagem" xfId="3" builtinId="5"/>
    <cellStyle name="Porcentagem 2" xfId="12" xr:uid="{00000000-0005-0000-0000-00000B000000}"/>
    <cellStyle name="Vírgula" xfId="4" builtinId="3"/>
    <cellStyle name="Vírgula 2" xfId="7" xr:uid="{00000000-0005-0000-0000-00000D000000}"/>
    <cellStyle name="Vírgula 2 2" xfId="11" xr:uid="{00000000-0005-0000-0000-00000E000000}"/>
    <cellStyle name="Vírgula 2 2 2" xfId="19" xr:uid="{E8D90BB5-E9EA-4BAD-B07D-DCD137D5CBFE}"/>
    <cellStyle name="Vírgula 2 3" xfId="17" xr:uid="{2AB45CFA-BA97-4601-B109-800406D9022B}"/>
    <cellStyle name="Vírgula 4" xfId="10" xr:uid="{00000000-0005-0000-0000-00000F000000}"/>
    <cellStyle name="Vírgula 4 2" xfId="18" xr:uid="{4368DDB6-9631-43C6-9669-6DCA7D2EA72B}"/>
  </cellStyles>
  <dxfs count="22">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s>
  <tableStyles count="0" defaultTableStyle="TableStyleMedium2" defaultPivotStyle="PivotStyleLight16"/>
  <colors>
    <mruColors>
      <color rgb="FF777777"/>
      <color rgb="FF008080"/>
      <color rgb="FF009999"/>
      <color rgb="FF33CCCC"/>
      <color rgb="FFF2F2F2"/>
      <color rgb="FFFFFFFF"/>
      <color rgb="FFF6FAF4"/>
      <color rgb="FFB9FFFF"/>
      <color rgb="FFD7E9E0"/>
      <color rgb="FFECFCF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externalLink" Target="externalLinks/externalLink6.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microsoft.com/office/2007/relationships/hdphoto" Target="../media/hdphoto1.wdp"/><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1</xdr:col>
      <xdr:colOff>28574</xdr:colOff>
      <xdr:row>1</xdr:row>
      <xdr:rowOff>9525</xdr:rowOff>
    </xdr:from>
    <xdr:to>
      <xdr:col>8</xdr:col>
      <xdr:colOff>581025</xdr:colOff>
      <xdr:row>2</xdr:row>
      <xdr:rowOff>476251</xdr:rowOff>
    </xdr:to>
    <xdr:pic>
      <xdr:nvPicPr>
        <xdr:cNvPr id="4" name="Imagem 3">
          <a:extLst>
            <a:ext uri="{FF2B5EF4-FFF2-40B4-BE49-F238E27FC236}">
              <a16:creationId xmlns:a16="http://schemas.microsoft.com/office/drawing/2014/main" id="{00000000-0008-0000-0200-000004000000}"/>
            </a:ext>
          </a:extLst>
        </xdr:cNvPr>
        <xdr:cNvPicPr/>
      </xdr:nvPicPr>
      <xdr:blipFill rotWithShape="1">
        <a:blip xmlns:r="http://schemas.openxmlformats.org/officeDocument/2006/relationships" r:embed="rId1" cstate="print">
          <a:alphaModFix/>
          <a:extLst>
            <a:ext uri="{BEBA8EAE-BF5A-486C-A8C5-ECC9F3942E4B}">
              <a14:imgProps xmlns:a14="http://schemas.microsoft.com/office/drawing/2010/main">
                <a14:imgLayer r:embed="rId2">
                  <a14:imgEffect>
                    <a14:sharpenSoften amount="10000"/>
                  </a14:imgEffect>
                  <a14:imgEffect>
                    <a14:brightnessContrast bright="10000" contrast="10000"/>
                  </a14:imgEffect>
                </a14:imgLayer>
              </a14:imgProps>
            </a:ext>
            <a:ext uri="{28A0092B-C50C-407E-A947-70E740481C1C}">
              <a14:useLocalDpi xmlns:a14="http://schemas.microsoft.com/office/drawing/2010/main" val="0"/>
            </a:ext>
          </a:extLst>
        </a:blip>
        <a:srcRect t="31404" b="15781"/>
        <a:stretch/>
      </xdr:blipFill>
      <xdr:spPr bwMode="auto">
        <a:xfrm>
          <a:off x="276224" y="209550"/>
          <a:ext cx="5124451" cy="657226"/>
        </a:xfrm>
        <a:prstGeom prst="rect">
          <a:avLst/>
        </a:prstGeom>
        <a:noFill/>
        <a:ln>
          <a:noFill/>
        </a:ln>
      </xdr:spPr>
    </xdr:pic>
    <xdr:clientData/>
  </xdr:twoCellAnchor>
  <xdr:twoCellAnchor editAs="oneCell">
    <xdr:from>
      <xdr:col>11</xdr:col>
      <xdr:colOff>47624</xdr:colOff>
      <xdr:row>1</xdr:row>
      <xdr:rowOff>161924</xdr:rowOff>
    </xdr:from>
    <xdr:to>
      <xdr:col>18</xdr:col>
      <xdr:colOff>571499</xdr:colOff>
      <xdr:row>2</xdr:row>
      <xdr:rowOff>495299</xdr:rowOff>
    </xdr:to>
    <xdr:pic>
      <xdr:nvPicPr>
        <xdr:cNvPr id="5" name="Imagem 4">
          <a:extLst>
            <a:ext uri="{FF2B5EF4-FFF2-40B4-BE49-F238E27FC236}">
              <a16:creationId xmlns:a16="http://schemas.microsoft.com/office/drawing/2014/main" id="{00000000-0008-0000-0200-000005000000}"/>
            </a:ext>
          </a:extLst>
        </xdr:cNvPr>
        <xdr:cNvPicPr/>
      </xdr:nvPicPr>
      <xdr:blipFill rotWithShape="1">
        <a:blip xmlns:r="http://schemas.openxmlformats.org/officeDocument/2006/relationships" r:embed="rId1" cstate="print">
          <a:alphaModFix/>
          <a:extLst>
            <a:ext uri="{BEBA8EAE-BF5A-486C-A8C5-ECC9F3942E4B}">
              <a14:imgProps xmlns:a14="http://schemas.microsoft.com/office/drawing/2010/main">
                <a14:imgLayer r:embed="rId2">
                  <a14:imgEffect>
                    <a14:sharpenSoften amount="10000"/>
                  </a14:imgEffect>
                  <a14:imgEffect>
                    <a14:brightnessContrast bright="10000" contrast="10000"/>
                  </a14:imgEffect>
                </a14:imgLayer>
              </a14:imgProps>
            </a:ext>
            <a:ext uri="{28A0092B-C50C-407E-A947-70E740481C1C}">
              <a14:useLocalDpi xmlns:a14="http://schemas.microsoft.com/office/drawing/2010/main" val="0"/>
            </a:ext>
          </a:extLst>
        </a:blip>
        <a:srcRect t="31404" b="15781"/>
        <a:stretch/>
      </xdr:blipFill>
      <xdr:spPr bwMode="auto">
        <a:xfrm>
          <a:off x="6696074" y="361949"/>
          <a:ext cx="4791075" cy="523875"/>
        </a:xfrm>
        <a:prstGeom prst="rect">
          <a:avLst/>
        </a:prstGeom>
        <a:noFill/>
        <a:ln>
          <a:noFill/>
        </a:ln>
      </xdr:spPr>
    </xdr:pic>
    <xdr:clientData/>
  </xdr:twoCellAnchor>
  <xdr:twoCellAnchor editAs="oneCell">
    <xdr:from>
      <xdr:col>1</xdr:col>
      <xdr:colOff>28574</xdr:colOff>
      <xdr:row>1</xdr:row>
      <xdr:rowOff>9525</xdr:rowOff>
    </xdr:from>
    <xdr:to>
      <xdr:col>8</xdr:col>
      <xdr:colOff>581025</xdr:colOff>
      <xdr:row>2</xdr:row>
      <xdr:rowOff>476251</xdr:rowOff>
    </xdr:to>
    <xdr:pic>
      <xdr:nvPicPr>
        <xdr:cNvPr id="6" name="Imagem 5">
          <a:extLst>
            <a:ext uri="{FF2B5EF4-FFF2-40B4-BE49-F238E27FC236}">
              <a16:creationId xmlns:a16="http://schemas.microsoft.com/office/drawing/2014/main" id="{00000000-0008-0000-0200-000006000000}"/>
            </a:ext>
          </a:extLst>
        </xdr:cNvPr>
        <xdr:cNvPicPr/>
      </xdr:nvPicPr>
      <xdr:blipFill rotWithShape="1">
        <a:blip xmlns:r="http://schemas.openxmlformats.org/officeDocument/2006/relationships" r:embed="rId1" cstate="print">
          <a:alphaModFix/>
          <a:extLst>
            <a:ext uri="{BEBA8EAE-BF5A-486C-A8C5-ECC9F3942E4B}">
              <a14:imgProps xmlns:a14="http://schemas.microsoft.com/office/drawing/2010/main">
                <a14:imgLayer r:embed="rId2">
                  <a14:imgEffect>
                    <a14:sharpenSoften amount="10000"/>
                  </a14:imgEffect>
                  <a14:imgEffect>
                    <a14:brightnessContrast bright="10000" contrast="10000"/>
                  </a14:imgEffect>
                </a14:imgLayer>
              </a14:imgProps>
            </a:ext>
            <a:ext uri="{28A0092B-C50C-407E-A947-70E740481C1C}">
              <a14:useLocalDpi xmlns:a14="http://schemas.microsoft.com/office/drawing/2010/main" val="0"/>
            </a:ext>
          </a:extLst>
        </a:blip>
        <a:srcRect t="31404" b="15781"/>
        <a:stretch/>
      </xdr:blipFill>
      <xdr:spPr bwMode="auto">
        <a:xfrm>
          <a:off x="276224" y="209550"/>
          <a:ext cx="5124451" cy="657226"/>
        </a:xfrm>
        <a:prstGeom prst="rect">
          <a:avLst/>
        </a:prstGeom>
        <a:noFill/>
        <a:ln>
          <a:noFill/>
        </a:ln>
      </xdr:spPr>
    </xdr:pic>
    <xdr:clientData/>
  </xdr:twoCellAnchor>
  <xdr:twoCellAnchor editAs="oneCell">
    <xdr:from>
      <xdr:col>11</xdr:col>
      <xdr:colOff>47624</xdr:colOff>
      <xdr:row>1</xdr:row>
      <xdr:rowOff>161924</xdr:rowOff>
    </xdr:from>
    <xdr:to>
      <xdr:col>18</xdr:col>
      <xdr:colOff>571499</xdr:colOff>
      <xdr:row>2</xdr:row>
      <xdr:rowOff>495299</xdr:rowOff>
    </xdr:to>
    <xdr:pic>
      <xdr:nvPicPr>
        <xdr:cNvPr id="7" name="Imagem 6">
          <a:extLst>
            <a:ext uri="{FF2B5EF4-FFF2-40B4-BE49-F238E27FC236}">
              <a16:creationId xmlns:a16="http://schemas.microsoft.com/office/drawing/2014/main" id="{00000000-0008-0000-0200-000007000000}"/>
            </a:ext>
          </a:extLst>
        </xdr:cNvPr>
        <xdr:cNvPicPr/>
      </xdr:nvPicPr>
      <xdr:blipFill rotWithShape="1">
        <a:blip xmlns:r="http://schemas.openxmlformats.org/officeDocument/2006/relationships" r:embed="rId1" cstate="print">
          <a:alphaModFix/>
          <a:extLst>
            <a:ext uri="{BEBA8EAE-BF5A-486C-A8C5-ECC9F3942E4B}">
              <a14:imgProps xmlns:a14="http://schemas.microsoft.com/office/drawing/2010/main">
                <a14:imgLayer r:embed="rId2">
                  <a14:imgEffect>
                    <a14:sharpenSoften amount="10000"/>
                  </a14:imgEffect>
                  <a14:imgEffect>
                    <a14:brightnessContrast bright="10000" contrast="10000"/>
                  </a14:imgEffect>
                </a14:imgLayer>
              </a14:imgProps>
            </a:ext>
            <a:ext uri="{28A0092B-C50C-407E-A947-70E740481C1C}">
              <a14:useLocalDpi xmlns:a14="http://schemas.microsoft.com/office/drawing/2010/main" val="0"/>
            </a:ext>
          </a:extLst>
        </a:blip>
        <a:srcRect t="31404" b="15781"/>
        <a:stretch/>
      </xdr:blipFill>
      <xdr:spPr bwMode="auto">
        <a:xfrm>
          <a:off x="6857999" y="361949"/>
          <a:ext cx="4791075" cy="523875"/>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2</xdr:row>
          <xdr:rowOff>38100</xdr:rowOff>
        </xdr:from>
        <xdr:to>
          <xdr:col>10</xdr:col>
          <xdr:colOff>581025</xdr:colOff>
          <xdr:row>26</xdr:row>
          <xdr:rowOff>66675</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00000000-0008-0000-0300-000001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xdr:from>
      <xdr:col>11</xdr:col>
      <xdr:colOff>152400</xdr:colOff>
      <xdr:row>12</xdr:row>
      <xdr:rowOff>38380</xdr:rowOff>
    </xdr:from>
    <xdr:to>
      <xdr:col>13</xdr:col>
      <xdr:colOff>95091</xdr:colOff>
      <xdr:row>16</xdr:row>
      <xdr:rowOff>28575</xdr:rowOff>
    </xdr:to>
    <xdr:sp macro="" textlink="">
      <xdr:nvSpPr>
        <xdr:cNvPr id="3" name="Seta para a direita 7">
          <a:extLst>
            <a:ext uri="{FF2B5EF4-FFF2-40B4-BE49-F238E27FC236}">
              <a16:creationId xmlns:a16="http://schemas.microsoft.com/office/drawing/2014/main" id="{00000000-0008-0000-0300-000003000000}"/>
            </a:ext>
          </a:extLst>
        </xdr:cNvPr>
        <xdr:cNvSpPr/>
      </xdr:nvSpPr>
      <xdr:spPr>
        <a:xfrm>
          <a:off x="6858000" y="3153055"/>
          <a:ext cx="1161891" cy="780770"/>
        </a:xfrm>
        <a:prstGeom prst="rightArrow">
          <a:avLst/>
        </a:prstGeom>
        <a:solidFill>
          <a:srgbClr val="2A5664"/>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13</xdr:col>
      <xdr:colOff>437030</xdr:colOff>
      <xdr:row>11</xdr:row>
      <xdr:rowOff>76201</xdr:rowOff>
    </xdr:from>
    <xdr:to>
      <xdr:col>18</xdr:col>
      <xdr:colOff>114300</xdr:colOff>
      <xdr:row>17</xdr:row>
      <xdr:rowOff>114300</xdr:rowOff>
    </xdr:to>
    <xdr:sp macro="" textlink="">
      <xdr:nvSpPr>
        <xdr:cNvPr id="4" name="Retângulo de cantos arredondados 9">
          <a:extLst>
            <a:ext uri="{FF2B5EF4-FFF2-40B4-BE49-F238E27FC236}">
              <a16:creationId xmlns:a16="http://schemas.microsoft.com/office/drawing/2014/main" id="{00000000-0008-0000-0300-000004000000}"/>
            </a:ext>
          </a:extLst>
        </xdr:cNvPr>
        <xdr:cNvSpPr/>
      </xdr:nvSpPr>
      <xdr:spPr>
        <a:xfrm>
          <a:off x="8361830" y="2990851"/>
          <a:ext cx="2725270" cy="1228724"/>
        </a:xfrm>
        <a:prstGeom prst="round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pt-BR" sz="1500" b="1">
              <a:solidFill>
                <a:schemeClr val="tx1"/>
              </a:solidFill>
              <a:effectLst/>
              <a:latin typeface="+mn-lt"/>
              <a:ea typeface="+mn-ea"/>
              <a:cs typeface="+mn-cs"/>
            </a:rPr>
            <a:t>Clicar duas vezes no objetivo estratégico,</a:t>
          </a:r>
          <a:r>
            <a:rPr lang="pt-BR" sz="1500" b="1" baseline="0">
              <a:solidFill>
                <a:schemeClr val="tx1"/>
              </a:solidFill>
              <a:effectLst/>
              <a:latin typeface="+mn-lt"/>
              <a:ea typeface="+mn-ea"/>
              <a:cs typeface="+mn-cs"/>
            </a:rPr>
            <a:t> na </a:t>
          </a:r>
          <a:r>
            <a:rPr lang="pt-BR" sz="1500" b="1">
              <a:solidFill>
                <a:schemeClr val="tx1"/>
              </a:solidFill>
              <a:effectLst/>
              <a:latin typeface="+mn-lt"/>
              <a:ea typeface="+mn-ea"/>
              <a:cs typeface="+mn-cs"/>
            </a:rPr>
            <a:t>figura ao</a:t>
          </a:r>
          <a:r>
            <a:rPr lang="pt-BR" sz="1500" b="1" baseline="0">
              <a:solidFill>
                <a:schemeClr val="tx1"/>
              </a:solidFill>
              <a:effectLst/>
              <a:latin typeface="+mn-lt"/>
              <a:ea typeface="+mn-ea"/>
              <a:cs typeface="+mn-cs"/>
            </a:rPr>
            <a:t> lado,</a:t>
          </a:r>
          <a:r>
            <a:rPr lang="pt-BR" sz="1500" b="1">
              <a:solidFill>
                <a:schemeClr val="tx1"/>
              </a:solidFill>
              <a:effectLst/>
              <a:latin typeface="+mn-lt"/>
              <a:ea typeface="+mn-ea"/>
              <a:cs typeface="+mn-cs"/>
            </a:rPr>
            <a:t> e incluir os</a:t>
          </a:r>
          <a:r>
            <a:rPr lang="pt-BR" sz="1500" b="1" baseline="0">
              <a:solidFill>
                <a:schemeClr val="tx1"/>
              </a:solidFill>
              <a:effectLst/>
              <a:latin typeface="+mn-lt"/>
              <a:ea typeface="+mn-ea"/>
              <a:cs typeface="+mn-cs"/>
            </a:rPr>
            <a:t> objetivos locais, no máximo três.</a:t>
          </a:r>
          <a:endParaRPr lang="pt-BR" sz="1500">
            <a:solidFill>
              <a:schemeClr val="tx1"/>
            </a:solidFill>
            <a:effectLst/>
          </a:endParaRPr>
        </a:p>
        <a:p>
          <a:pPr algn="l"/>
          <a:endParaRPr lang="pt-BR" sz="1100" b="1">
            <a:solidFill>
              <a:schemeClr val="tx1"/>
            </a:solidFill>
          </a:endParaRPr>
        </a:p>
      </xdr:txBody>
    </xdr:sp>
    <xdr:clientData/>
  </xdr:twoCellAnchor>
  <xdr:twoCellAnchor>
    <xdr:from>
      <xdr:col>13</xdr:col>
      <xdr:colOff>384073</xdr:colOff>
      <xdr:row>37</xdr:row>
      <xdr:rowOff>76815</xdr:rowOff>
    </xdr:from>
    <xdr:to>
      <xdr:col>18</xdr:col>
      <xdr:colOff>412648</xdr:colOff>
      <xdr:row>43</xdr:row>
      <xdr:rowOff>14142</xdr:rowOff>
    </xdr:to>
    <xdr:sp macro="" textlink="">
      <xdr:nvSpPr>
        <xdr:cNvPr id="6" name="Retângulo de cantos arredondados 10">
          <a:extLst>
            <a:ext uri="{FF2B5EF4-FFF2-40B4-BE49-F238E27FC236}">
              <a16:creationId xmlns:a16="http://schemas.microsoft.com/office/drawing/2014/main" id="{00000000-0008-0000-0300-000006000000}"/>
            </a:ext>
          </a:extLst>
        </xdr:cNvPr>
        <xdr:cNvSpPr/>
      </xdr:nvSpPr>
      <xdr:spPr>
        <a:xfrm>
          <a:off x="8308873" y="8677890"/>
          <a:ext cx="3076575" cy="1080327"/>
        </a:xfrm>
        <a:prstGeom prst="round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lang="pt-BR" sz="1500" b="1" baseline="0">
              <a:solidFill>
                <a:schemeClr val="tx1"/>
              </a:solidFill>
              <a:effectLst/>
              <a:latin typeface="+mn-lt"/>
              <a:ea typeface="+mn-ea"/>
              <a:cs typeface="+mn-cs"/>
            </a:rPr>
            <a:t>Facultativo a utilização dos ODS na Reprogramação 2021. Clicar duas vezes na figura ao lado e incluir os ODS priorizados.</a:t>
          </a:r>
          <a:endParaRPr lang="pt-BR" sz="1600">
            <a:effectLst/>
          </a:endParaRPr>
        </a:p>
      </xdr:txBody>
    </xdr:sp>
    <xdr:clientData/>
  </xdr:twoCellAnchor>
  <xdr:twoCellAnchor>
    <xdr:from>
      <xdr:col>11</xdr:col>
      <xdr:colOff>213228</xdr:colOff>
      <xdr:row>38</xdr:row>
      <xdr:rowOff>134651</xdr:rowOff>
    </xdr:from>
    <xdr:to>
      <xdr:col>13</xdr:col>
      <xdr:colOff>155919</xdr:colOff>
      <xdr:row>42</xdr:row>
      <xdr:rowOff>170934</xdr:rowOff>
    </xdr:to>
    <xdr:sp macro="" textlink="">
      <xdr:nvSpPr>
        <xdr:cNvPr id="7" name="Seta para a direita 11">
          <a:extLst>
            <a:ext uri="{FF2B5EF4-FFF2-40B4-BE49-F238E27FC236}">
              <a16:creationId xmlns:a16="http://schemas.microsoft.com/office/drawing/2014/main" id="{00000000-0008-0000-0300-000007000000}"/>
            </a:ext>
          </a:extLst>
        </xdr:cNvPr>
        <xdr:cNvSpPr/>
      </xdr:nvSpPr>
      <xdr:spPr>
        <a:xfrm>
          <a:off x="6918828" y="8926226"/>
          <a:ext cx="1161891" cy="798283"/>
        </a:xfrm>
        <a:prstGeom prst="rightArrow">
          <a:avLst/>
        </a:prstGeom>
        <a:solidFill>
          <a:srgbClr val="2A5664"/>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0</xdr:col>
      <xdr:colOff>47625</xdr:colOff>
      <xdr:row>29</xdr:row>
      <xdr:rowOff>19050</xdr:rowOff>
    </xdr:from>
    <xdr:to>
      <xdr:col>11</xdr:col>
      <xdr:colOff>38100</xdr:colOff>
      <xdr:row>51</xdr:row>
      <xdr:rowOff>104775</xdr:rowOff>
    </xdr:to>
    <xdr:pic>
      <xdr:nvPicPr>
        <xdr:cNvPr id="11" name="Imagem 10">
          <a:extLst>
            <a:ext uri="{FF2B5EF4-FFF2-40B4-BE49-F238E27FC236}">
              <a16:creationId xmlns:a16="http://schemas.microsoft.com/office/drawing/2014/main" id="{00000000-0008-0000-0300-00000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5" y="6696075"/>
          <a:ext cx="6696075" cy="4191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patriciagomo/Desktop/Reprograma&#231;&#227;o%202020/Tabelas%20Diretrizes%20-%20Reprog%20202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patriciagomo/Desktop/Tabelas%20Diretrizes%20-%20Reprog%20202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ASSESSORIA%20DE%20PLANEJAMENTO%20E%20GESTAO%20DA%20ESTRATEGIA\2021\Reprograma&#231;&#227;o%202021\Diretrizes\Documento\Tabelas%20Diretrizes%20-%20Reprog%202021%20-%20Ajustes%20CAU%20UF-FINAL%2023.06-%20P&#243;s%20Reuni&#227;o%20CGFA.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S:\ASSESSORIA%20DE%20PLANEJAMENTO%20E%20GESTAO%20DA%20ESTRATEGIA\2021\Reprograma&#231;&#227;o%202021\An&#225;lise%20das%20Presta&#231;&#245;es%20de%20Contas%20CAU%2020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flavia.costa/Desktop/Tabelas%20Diretrizes%20-%20Reprog%202021%20-%20PE.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ASSESSORIA%20DE%20PLANEJAMENTO%20E%20GESTAO%20DA%20ESTRATEGIA/2021/Programa&#231;&#227;o%202021/Pareceres/Vers&#227;o%20Final/Parecer%20da%20Programa&#231;&#227;o%202021%20CAU-MG.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ADRO 1"/>
      <sheetName val="QUADRO 2"/>
      <sheetName val="QUADRO 3"/>
      <sheetName val="QUADRO 4"/>
      <sheetName val="Simulação de %"/>
      <sheetName val="Estudos - Receita"/>
      <sheetName val="ANEXO I"/>
      <sheetName val="ANEXO II"/>
      <sheetName val="ANEXO III e Anexo IX"/>
      <sheetName val="Estudos - Quant. PF"/>
      <sheetName val="NOVOS EGRESSOS"/>
      <sheetName val="Estudos-Percentuais"/>
      <sheetName val="ANEXO IV"/>
      <sheetName val="ANEXO V"/>
      <sheetName val="Estudos - Quant. PJ"/>
      <sheetName val="ANEXO VI"/>
      <sheetName val="ANEXO VII"/>
      <sheetName val="ANEXO VIII"/>
      <sheetName val="ANEXO X Aporte FA"/>
      <sheetName val="ANEXO X.I Repasse FA"/>
      <sheetName val="ANEXO XI CSC Total"/>
      <sheetName val="ANEXO XI.I CSC RIA"/>
      <sheetName val="ANEXO XI.II CSC Essencial"/>
      <sheetName val="ANEXO XI.III - RIA Enc. dContas"/>
      <sheetName val="ANEXO XII"/>
      <sheetName val="XIII. TAXAS BANCÁRIAS"/>
      <sheetName val="NOVO SISCAF"/>
      <sheetName val="Gráficos e Tabelas"/>
      <sheetName val="Resumo - Ajuste pelos UFs"/>
      <sheetName val="Resumo"/>
    </sheetNames>
    <sheetDataSet>
      <sheetData sheetId="0" refreshError="1"/>
      <sheetData sheetId="1" refreshError="1"/>
      <sheetData sheetId="2" refreshError="1"/>
      <sheetData sheetId="3" refreshError="1"/>
      <sheetData sheetId="4" refreshError="1"/>
      <sheetData sheetId="5">
        <row r="1">
          <cell r="XFB1">
            <v>0.05</v>
          </cell>
        </row>
        <row r="2">
          <cell r="XFB2">
            <v>0.1</v>
          </cell>
        </row>
        <row r="3">
          <cell r="XFB3">
            <v>0.15</v>
          </cell>
        </row>
        <row r="4">
          <cell r="XFB4">
            <v>0.2</v>
          </cell>
        </row>
        <row r="5">
          <cell r="XFB5">
            <v>0.25</v>
          </cell>
        </row>
        <row r="6">
          <cell r="XFB6">
            <v>0.3</v>
          </cell>
        </row>
        <row r="7">
          <cell r="XFB7">
            <v>0.35</v>
          </cell>
        </row>
        <row r="8">
          <cell r="XFB8">
            <v>0.4</v>
          </cell>
        </row>
        <row r="9">
          <cell r="XFB9">
            <v>0.45</v>
          </cell>
        </row>
        <row r="10">
          <cell r="XFB10">
            <v>0.5</v>
          </cell>
        </row>
        <row r="11">
          <cell r="XFB11">
            <v>0.55000000000000004</v>
          </cell>
        </row>
        <row r="12">
          <cell r="XFB12">
            <v>0.6</v>
          </cell>
        </row>
        <row r="13">
          <cell r="XFB13">
            <v>0.65</v>
          </cell>
        </row>
        <row r="14">
          <cell r="XFB14">
            <v>0.7</v>
          </cell>
        </row>
        <row r="15">
          <cell r="XFB15">
            <v>0.75</v>
          </cell>
        </row>
        <row r="16">
          <cell r="XFB16">
            <v>0.8</v>
          </cell>
        </row>
        <row r="17">
          <cell r="XFB17">
            <v>0.85</v>
          </cell>
        </row>
        <row r="18">
          <cell r="XFB18">
            <v>0.9</v>
          </cell>
        </row>
        <row r="19">
          <cell r="XFB19">
            <v>0.95</v>
          </cell>
        </row>
        <row r="20">
          <cell r="XFB20">
            <v>1</v>
          </cell>
        </row>
      </sheetData>
      <sheetData sheetId="6">
        <row r="5">
          <cell r="C5">
            <v>586</v>
          </cell>
        </row>
      </sheetData>
      <sheetData sheetId="7" refreshError="1"/>
      <sheetData sheetId="8">
        <row r="6">
          <cell r="AX6">
            <v>67439.888000000006</v>
          </cell>
        </row>
      </sheetData>
      <sheetData sheetId="9" refreshError="1"/>
      <sheetData sheetId="10" refreshError="1"/>
      <sheetData sheetId="11" refreshError="1"/>
      <sheetData sheetId="12" refreshError="1"/>
      <sheetData sheetId="13" refreshError="1"/>
      <sheetData sheetId="14">
        <row r="2">
          <cell r="J2" t="str">
            <v>PJ até 2 anos com sócio AU formado até 2 anos</v>
          </cell>
          <cell r="L2" t="str">
            <v>Relatório 14</v>
          </cell>
          <cell r="M2">
            <v>0</v>
          </cell>
          <cell r="N2">
            <v>0</v>
          </cell>
          <cell r="O2">
            <v>0</v>
          </cell>
        </row>
        <row r="3">
          <cell r="L3">
            <v>0</v>
          </cell>
          <cell r="M3">
            <v>0</v>
          </cell>
          <cell r="N3">
            <v>0</v>
          </cell>
          <cell r="O3">
            <v>0</v>
          </cell>
        </row>
        <row r="4">
          <cell r="L4" t="str">
            <v>Situação de Registro Ativo</v>
          </cell>
          <cell r="M4" t="str">
            <v>Inativos</v>
          </cell>
          <cell r="N4" t="str">
            <v>Pagantes</v>
          </cell>
          <cell r="O4" t="str">
            <v>0/1</v>
          </cell>
        </row>
        <row r="5">
          <cell r="N5">
            <v>32</v>
          </cell>
          <cell r="O5">
            <v>7</v>
          </cell>
        </row>
        <row r="6">
          <cell r="N6">
            <v>63</v>
          </cell>
          <cell r="O6">
            <v>12</v>
          </cell>
        </row>
        <row r="7">
          <cell r="N7">
            <v>37</v>
          </cell>
          <cell r="O7">
            <v>10</v>
          </cell>
        </row>
        <row r="8">
          <cell r="N8">
            <v>89</v>
          </cell>
          <cell r="O8">
            <v>12</v>
          </cell>
        </row>
        <row r="9">
          <cell r="N9">
            <v>56</v>
          </cell>
          <cell r="O9">
            <v>13</v>
          </cell>
        </row>
        <row r="10">
          <cell r="N10">
            <v>14</v>
          </cell>
          <cell r="O10">
            <v>0</v>
          </cell>
        </row>
        <row r="11">
          <cell r="N11">
            <v>41</v>
          </cell>
          <cell r="O11">
            <v>5</v>
          </cell>
        </row>
        <row r="12">
          <cell r="N12">
            <v>332</v>
          </cell>
          <cell r="O12">
            <v>59</v>
          </cell>
        </row>
        <row r="13">
          <cell r="N13">
            <v>41</v>
          </cell>
          <cell r="O13">
            <v>5</v>
          </cell>
        </row>
        <row r="14">
          <cell r="N14">
            <v>283</v>
          </cell>
          <cell r="O14">
            <v>28</v>
          </cell>
        </row>
        <row r="15">
          <cell r="N15">
            <v>139</v>
          </cell>
          <cell r="O15">
            <v>7</v>
          </cell>
        </row>
        <row r="16">
          <cell r="N16">
            <v>49</v>
          </cell>
          <cell r="O16">
            <v>5</v>
          </cell>
        </row>
        <row r="17">
          <cell r="N17">
            <v>87</v>
          </cell>
          <cell r="O17">
            <v>11</v>
          </cell>
        </row>
        <row r="18">
          <cell r="N18">
            <v>205</v>
          </cell>
          <cell r="O18">
            <v>19</v>
          </cell>
        </row>
        <row r="19">
          <cell r="N19">
            <v>70</v>
          </cell>
          <cell r="O19">
            <v>13</v>
          </cell>
        </row>
        <row r="20">
          <cell r="N20">
            <v>72</v>
          </cell>
          <cell r="O20">
            <v>6</v>
          </cell>
        </row>
        <row r="21">
          <cell r="N21">
            <v>57</v>
          </cell>
          <cell r="O21">
            <v>6</v>
          </cell>
        </row>
        <row r="22">
          <cell r="N22">
            <v>1003</v>
          </cell>
          <cell r="O22">
            <v>100</v>
          </cell>
        </row>
        <row r="23">
          <cell r="N23">
            <v>222</v>
          </cell>
          <cell r="O23">
            <v>27</v>
          </cell>
        </row>
        <row r="24">
          <cell r="N24">
            <v>212</v>
          </cell>
          <cell r="O24">
            <v>47</v>
          </cell>
        </row>
        <row r="25">
          <cell r="N25">
            <v>182</v>
          </cell>
          <cell r="O25">
            <v>26</v>
          </cell>
        </row>
        <row r="26">
          <cell r="N26">
            <v>172</v>
          </cell>
          <cell r="O26">
            <v>22</v>
          </cell>
        </row>
        <row r="27">
          <cell r="N27">
            <v>788</v>
          </cell>
          <cell r="O27">
            <v>122</v>
          </cell>
        </row>
        <row r="28">
          <cell r="N28">
            <v>225</v>
          </cell>
          <cell r="O28">
            <v>13</v>
          </cell>
        </row>
        <row r="29">
          <cell r="N29">
            <v>738</v>
          </cell>
          <cell r="O29">
            <v>69</v>
          </cell>
        </row>
        <row r="30">
          <cell r="N30">
            <v>1078</v>
          </cell>
          <cell r="O30">
            <v>82</v>
          </cell>
        </row>
        <row r="31">
          <cell r="N31">
            <v>3458</v>
          </cell>
          <cell r="O31">
            <v>154</v>
          </cell>
        </row>
        <row r="32">
          <cell r="N32">
            <v>5499</v>
          </cell>
          <cell r="O32">
            <v>318</v>
          </cell>
        </row>
        <row r="33">
          <cell r="N33">
            <v>1058</v>
          </cell>
          <cell r="O33">
            <v>125</v>
          </cell>
        </row>
        <row r="34">
          <cell r="N34">
            <v>949</v>
          </cell>
          <cell r="O34">
            <v>87</v>
          </cell>
        </row>
        <row r="35">
          <cell r="N35">
            <v>649</v>
          </cell>
          <cell r="O35">
            <v>70</v>
          </cell>
        </row>
        <row r="36">
          <cell r="N36">
            <v>2656</v>
          </cell>
          <cell r="O36">
            <v>282</v>
          </cell>
        </row>
        <row r="37">
          <cell r="N37">
            <v>10278</v>
          </cell>
          <cell r="O37">
            <v>881</v>
          </cell>
        </row>
      </sheetData>
      <sheetData sheetId="15" refreshError="1"/>
      <sheetData sheetId="16" refreshError="1"/>
      <sheetData sheetId="17" refreshError="1"/>
      <sheetData sheetId="18">
        <row r="3">
          <cell r="A3" t="str">
            <v>SP</v>
          </cell>
        </row>
      </sheetData>
      <sheetData sheetId="19">
        <row r="30">
          <cell r="A30" t="str">
            <v>RR</v>
          </cell>
        </row>
      </sheetData>
      <sheetData sheetId="20">
        <row r="3">
          <cell r="D3">
            <v>2726.8547648527197</v>
          </cell>
        </row>
      </sheetData>
      <sheetData sheetId="21" refreshError="1"/>
      <sheetData sheetId="22" refreshError="1"/>
      <sheetData sheetId="23">
        <row r="2">
          <cell r="A2" t="str">
            <v>AC</v>
          </cell>
        </row>
      </sheetData>
      <sheetData sheetId="24">
        <row r="10">
          <cell r="A10" t="str">
            <v>RR</v>
          </cell>
        </row>
      </sheetData>
      <sheetData sheetId="25">
        <row r="3">
          <cell r="A3" t="str">
            <v>AC</v>
          </cell>
        </row>
      </sheetData>
      <sheetData sheetId="26" refreshError="1"/>
      <sheetData sheetId="27" refreshError="1"/>
      <sheetData sheetId="28" refreshError="1"/>
      <sheetData sheetId="2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ADRO 1"/>
      <sheetName val="QUADRO 2"/>
      <sheetName val="QUADRO 3"/>
      <sheetName val="QUADRO 4"/>
      <sheetName val="Simulação de %"/>
      <sheetName val="Estudos - Receita"/>
      <sheetName val="ANEXO I"/>
      <sheetName val="ANEXO II"/>
      <sheetName val="ANEXO III e Anexo IX"/>
      <sheetName val="Estudos - Quant. PF"/>
      <sheetName val="NOVOS EGRESSOS"/>
      <sheetName val="Estudos-Percentuais"/>
      <sheetName val="ANEXO IV"/>
      <sheetName val="ANEXO V"/>
      <sheetName val="Estudos - Quant. PJ"/>
      <sheetName val="ANEXO VI"/>
      <sheetName val="ANEXO VII"/>
      <sheetName val="ANEXO VIII"/>
      <sheetName val="ANEXO X Aporte FA"/>
      <sheetName val="ANEXO X.I Repasse FA"/>
      <sheetName val="ANEXO XI CSC Total"/>
      <sheetName val="ANEXO XI.I CSC RIA"/>
      <sheetName val="ANEXO XI.II CSC Essencial"/>
      <sheetName val="ANEXO XI.III - RIA Enc. dContas"/>
      <sheetName val="ANEXO XII"/>
      <sheetName val="XIII. TAXAS BANCÁRIAS"/>
      <sheetName val="NOVO SISCAF"/>
      <sheetName val="Gráficos e Tabelas"/>
      <sheetName val="Resumo - Ajuste pelos UFs"/>
      <sheetName val="Resumo"/>
      <sheetName val="QUADRO_1"/>
      <sheetName val="QUADRO_2"/>
      <sheetName val="QUADRO_3"/>
      <sheetName val="QUADRO_4"/>
      <sheetName val="Simulação_de_%"/>
      <sheetName val="Estudos_-_Receita"/>
      <sheetName val="ANEXO_I"/>
      <sheetName val="ANEXO_II"/>
      <sheetName val="ANEXO_III_e_Anexo_IX"/>
      <sheetName val="Estudos_-_Quant__PF"/>
      <sheetName val="NOVOS_EGRESSOS"/>
      <sheetName val="ANEXO_IV"/>
      <sheetName val="ANEXO_V"/>
      <sheetName val="Estudos_-_Quant__PJ"/>
      <sheetName val="ANEXO_VI"/>
      <sheetName val="ANEXO_VII"/>
      <sheetName val="ANEXO_VIII"/>
      <sheetName val="ANEXO_X_Aporte_FA"/>
      <sheetName val="ANEXO_X_I_Repasse_FA"/>
      <sheetName val="ANEXO_XI_CSC_Total"/>
      <sheetName val="ANEXO_XI_I_CSC_RIA"/>
      <sheetName val="ANEXO_XI_II_CSC_Essencial"/>
      <sheetName val="ANEXO_XI_III_-_RIA_Enc__dContas"/>
      <sheetName val="ANEXO_XII"/>
      <sheetName val="XIII__TAXAS_BANCÁRIAS"/>
      <sheetName val="NOVO_SISCAF"/>
      <sheetName val="Gráficos_e_Tabelas"/>
      <sheetName val="Resumo_-_Ajuste_pelos_UFs"/>
    </sheetNames>
    <sheetDataSet>
      <sheetData sheetId="0" refreshError="1"/>
      <sheetData sheetId="1" refreshError="1"/>
      <sheetData sheetId="2" refreshError="1"/>
      <sheetData sheetId="3" refreshError="1"/>
      <sheetData sheetId="4" refreshError="1"/>
      <sheetData sheetId="5">
        <row r="1">
          <cell r="XFB1">
            <v>0.05</v>
          </cell>
        </row>
        <row r="2">
          <cell r="XFB2">
            <v>0.1</v>
          </cell>
        </row>
        <row r="3">
          <cell r="XFB3">
            <v>0.15</v>
          </cell>
        </row>
        <row r="4">
          <cell r="XFB4">
            <v>0.2</v>
          </cell>
        </row>
        <row r="5">
          <cell r="XFB5">
            <v>0.25</v>
          </cell>
        </row>
        <row r="6">
          <cell r="XFB6">
            <v>0.3</v>
          </cell>
        </row>
        <row r="7">
          <cell r="XFB7">
            <v>0.35</v>
          </cell>
        </row>
        <row r="8">
          <cell r="XFB8">
            <v>0.4</v>
          </cell>
        </row>
        <row r="9">
          <cell r="XFB9">
            <v>0.45</v>
          </cell>
        </row>
        <row r="10">
          <cell r="XFB10">
            <v>0.5</v>
          </cell>
        </row>
        <row r="11">
          <cell r="XFB11">
            <v>0.55000000000000004</v>
          </cell>
        </row>
        <row r="12">
          <cell r="XFB12">
            <v>0.6</v>
          </cell>
        </row>
        <row r="13">
          <cell r="XFB13">
            <v>0.65</v>
          </cell>
        </row>
        <row r="14">
          <cell r="XFB14">
            <v>0.7</v>
          </cell>
        </row>
        <row r="15">
          <cell r="XFB15">
            <v>0.75</v>
          </cell>
        </row>
        <row r="16">
          <cell r="XFB16">
            <v>0.8</v>
          </cell>
        </row>
        <row r="17">
          <cell r="XFB17">
            <v>0.85</v>
          </cell>
        </row>
        <row r="18">
          <cell r="XFB18">
            <v>0.9</v>
          </cell>
        </row>
        <row r="19">
          <cell r="XFB19">
            <v>0.95</v>
          </cell>
        </row>
        <row r="20">
          <cell r="XFB20">
            <v>1</v>
          </cell>
        </row>
      </sheetData>
      <sheetData sheetId="6">
        <row r="5">
          <cell r="C5">
            <v>586</v>
          </cell>
        </row>
      </sheetData>
      <sheetData sheetId="7" refreshError="1"/>
      <sheetData sheetId="8">
        <row r="6">
          <cell r="AX6">
            <v>67439.888000000006</v>
          </cell>
        </row>
      </sheetData>
      <sheetData sheetId="9" refreshError="1"/>
      <sheetData sheetId="10" refreshError="1"/>
      <sheetData sheetId="11" refreshError="1"/>
      <sheetData sheetId="12" refreshError="1"/>
      <sheetData sheetId="13" refreshError="1"/>
      <sheetData sheetId="14">
        <row r="2">
          <cell r="J2" t="str">
            <v>PJ até 2 anos com sócio AU formado até 2 anos</v>
          </cell>
          <cell r="L2" t="str">
            <v>Relatório 14</v>
          </cell>
        </row>
        <row r="4">
          <cell r="L4" t="str">
            <v>Situação de Registro Ativo</v>
          </cell>
          <cell r="M4" t="str">
            <v>Inativos</v>
          </cell>
          <cell r="N4" t="str">
            <v>Pagantes</v>
          </cell>
          <cell r="O4" t="str">
            <v>0/1</v>
          </cell>
        </row>
        <row r="5">
          <cell r="N5">
            <v>32</v>
          </cell>
          <cell r="O5">
            <v>7</v>
          </cell>
        </row>
        <row r="6">
          <cell r="N6">
            <v>63</v>
          </cell>
          <cell r="O6">
            <v>12</v>
          </cell>
        </row>
        <row r="7">
          <cell r="N7">
            <v>37</v>
          </cell>
          <cell r="O7">
            <v>10</v>
          </cell>
        </row>
        <row r="8">
          <cell r="N8">
            <v>89</v>
          </cell>
          <cell r="O8">
            <v>12</v>
          </cell>
        </row>
        <row r="9">
          <cell r="N9">
            <v>56</v>
          </cell>
          <cell r="O9">
            <v>13</v>
          </cell>
        </row>
        <row r="10">
          <cell r="N10">
            <v>14</v>
          </cell>
          <cell r="O10">
            <v>0</v>
          </cell>
        </row>
        <row r="11">
          <cell r="N11">
            <v>41</v>
          </cell>
          <cell r="O11">
            <v>5</v>
          </cell>
        </row>
        <row r="12">
          <cell r="N12">
            <v>332</v>
          </cell>
          <cell r="O12">
            <v>59</v>
          </cell>
        </row>
        <row r="13">
          <cell r="N13">
            <v>41</v>
          </cell>
          <cell r="O13">
            <v>5</v>
          </cell>
        </row>
        <row r="14">
          <cell r="N14">
            <v>283</v>
          </cell>
          <cell r="O14">
            <v>28</v>
          </cell>
        </row>
        <row r="15">
          <cell r="N15">
            <v>139</v>
          </cell>
          <cell r="O15">
            <v>7</v>
          </cell>
        </row>
        <row r="16">
          <cell r="N16">
            <v>49</v>
          </cell>
          <cell r="O16">
            <v>5</v>
          </cell>
        </row>
        <row r="17">
          <cell r="N17">
            <v>87</v>
          </cell>
          <cell r="O17">
            <v>11</v>
          </cell>
        </row>
        <row r="18">
          <cell r="N18">
            <v>205</v>
          </cell>
          <cell r="O18">
            <v>19</v>
          </cell>
        </row>
        <row r="19">
          <cell r="N19">
            <v>70</v>
          </cell>
          <cell r="O19">
            <v>13</v>
          </cell>
        </row>
        <row r="20">
          <cell r="N20">
            <v>72</v>
          </cell>
          <cell r="O20">
            <v>6</v>
          </cell>
        </row>
        <row r="21">
          <cell r="N21">
            <v>57</v>
          </cell>
          <cell r="O21">
            <v>6</v>
          </cell>
        </row>
        <row r="22">
          <cell r="N22">
            <v>1003</v>
          </cell>
          <cell r="O22">
            <v>100</v>
          </cell>
        </row>
        <row r="23">
          <cell r="N23">
            <v>222</v>
          </cell>
          <cell r="O23">
            <v>27</v>
          </cell>
        </row>
        <row r="24">
          <cell r="N24">
            <v>212</v>
          </cell>
          <cell r="O24">
            <v>47</v>
          </cell>
        </row>
        <row r="25">
          <cell r="N25">
            <v>182</v>
          </cell>
          <cell r="O25">
            <v>26</v>
          </cell>
        </row>
        <row r="26">
          <cell r="N26">
            <v>172</v>
          </cell>
          <cell r="O26">
            <v>22</v>
          </cell>
        </row>
        <row r="27">
          <cell r="N27">
            <v>788</v>
          </cell>
          <cell r="O27">
            <v>122</v>
          </cell>
        </row>
        <row r="28">
          <cell r="N28">
            <v>225</v>
          </cell>
          <cell r="O28">
            <v>13</v>
          </cell>
        </row>
        <row r="29">
          <cell r="N29">
            <v>738</v>
          </cell>
          <cell r="O29">
            <v>69</v>
          </cell>
        </row>
        <row r="30">
          <cell r="N30">
            <v>1078</v>
          </cell>
          <cell r="O30">
            <v>82</v>
          </cell>
        </row>
        <row r="31">
          <cell r="N31">
            <v>3458</v>
          </cell>
          <cell r="O31">
            <v>154</v>
          </cell>
        </row>
        <row r="32">
          <cell r="N32">
            <v>5499</v>
          </cell>
          <cell r="O32">
            <v>318</v>
          </cell>
        </row>
        <row r="33">
          <cell r="N33">
            <v>1058</v>
          </cell>
          <cell r="O33">
            <v>125</v>
          </cell>
        </row>
        <row r="34">
          <cell r="N34">
            <v>949</v>
          </cell>
          <cell r="O34">
            <v>87</v>
          </cell>
        </row>
        <row r="35">
          <cell r="N35">
            <v>649</v>
          </cell>
          <cell r="O35">
            <v>70</v>
          </cell>
        </row>
        <row r="36">
          <cell r="N36">
            <v>2656</v>
          </cell>
          <cell r="O36">
            <v>282</v>
          </cell>
        </row>
        <row r="37">
          <cell r="N37">
            <v>10278</v>
          </cell>
          <cell r="O37">
            <v>881</v>
          </cell>
        </row>
      </sheetData>
      <sheetData sheetId="15" refreshError="1"/>
      <sheetData sheetId="16" refreshError="1"/>
      <sheetData sheetId="17" refreshError="1"/>
      <sheetData sheetId="18">
        <row r="3">
          <cell r="A3" t="str">
            <v>SP</v>
          </cell>
        </row>
      </sheetData>
      <sheetData sheetId="19">
        <row r="30">
          <cell r="A30" t="str">
            <v>RR</v>
          </cell>
        </row>
      </sheetData>
      <sheetData sheetId="20">
        <row r="3">
          <cell r="D3">
            <v>2726.8547648527197</v>
          </cell>
        </row>
      </sheetData>
      <sheetData sheetId="21" refreshError="1"/>
      <sheetData sheetId="22" refreshError="1"/>
      <sheetData sheetId="23">
        <row r="2">
          <cell r="A2" t="str">
            <v>AC</v>
          </cell>
        </row>
      </sheetData>
      <sheetData sheetId="24">
        <row r="10">
          <cell r="A10" t="str">
            <v>RR</v>
          </cell>
        </row>
      </sheetData>
      <sheetData sheetId="25">
        <row r="3">
          <cell r="A3" t="str">
            <v>AC</v>
          </cell>
        </row>
      </sheetData>
      <sheetData sheetId="26" refreshError="1"/>
      <sheetData sheetId="27" refreshError="1"/>
      <sheetData sheetId="28" refreshError="1"/>
      <sheetData sheetId="29" refreshError="1"/>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ow r="2">
          <cell r="J2" t="str">
            <v>PJ até 2 anos com sócio AU formado até 2 anos</v>
          </cell>
        </row>
      </sheetData>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RT"/>
      <sheetName val="Anexo VI-Repasse FA sem exerc."/>
      <sheetName val="Anexo VI.I-Aporte FA sem exerci"/>
      <sheetName val="senha"/>
      <sheetName val="QUADRO 1"/>
      <sheetName val="QUADRO 2"/>
      <sheetName val="QUADRO 3"/>
      <sheetName val="QUADRO 4"/>
      <sheetName val="ANEXO I"/>
      <sheetName val="ANEXO II"/>
      <sheetName val="ANEXO III Anexo IX (100 e 80%)"/>
      <sheetName val="Estudos - Receita"/>
      <sheetName val="ANEXO IV"/>
      <sheetName val="ANEXO V"/>
      <sheetName val="ANEXO VI"/>
      <sheetName val="ANEXO VII"/>
      <sheetName val="ANEXO VIII"/>
      <sheetName val="Análise Impacto CSC FA"/>
      <sheetName val="Anexo X-Aporte FA com exerc."/>
      <sheetName val="Anexo X-Repasse FA com exerc."/>
      <sheetName val="Acerto de Contas"/>
      <sheetName val="CSC_Teleatendimento"/>
      <sheetName val="ANEXO XI.A - CSC Total(AJUSTE) "/>
      <sheetName val="ANEXO XI - CSC Total"/>
      <sheetName val="Anexo XI.I-CSC-Teleatendimento"/>
      <sheetName val="ANEXO XI.II Enc de Contas"/>
      <sheetName val="Anexo XI.III-CSC -Essenc e RIA"/>
      <sheetName val="Simulação de %"/>
      <sheetName val="NOVOS EGRESSOS"/>
      <sheetName val="Estudos-Percentuais"/>
      <sheetName val="Anexo XII- SISCAF"/>
      <sheetName val="Resumo - Ajuste pelos UFs"/>
      <sheetName val="Médias por UF"/>
      <sheetName val="Financeiro"/>
      <sheetName val="XIII. TAXAS BANCÁRIAS"/>
      <sheetName val="Gráficos e Tabelas"/>
      <sheetName val="Exerc.Anteriores PF-PJ"/>
      <sheetName val="Análise PF"/>
      <sheetName val="PF - Projeção"/>
      <sheetName val="Análise PJ"/>
      <sheetName val="PJ - Projeção"/>
    </sheetNames>
    <sheetDataSet>
      <sheetData sheetId="0"/>
      <sheetData sheetId="1"/>
      <sheetData sheetId="2"/>
      <sheetData sheetId="3"/>
      <sheetData sheetId="4"/>
      <sheetData sheetId="5"/>
      <sheetData sheetId="6"/>
      <sheetData sheetId="7"/>
      <sheetData sheetId="8">
        <row r="5">
          <cell r="A5" t="str">
            <v>AC</v>
          </cell>
          <cell r="B5">
            <v>674</v>
          </cell>
          <cell r="C5">
            <v>678</v>
          </cell>
          <cell r="D5">
            <v>0.59347181008901373</v>
          </cell>
          <cell r="E5">
            <v>669</v>
          </cell>
          <cell r="F5">
            <v>673</v>
          </cell>
          <cell r="G5">
            <v>0.59790732436472638</v>
          </cell>
          <cell r="H5">
            <v>409</v>
          </cell>
          <cell r="I5">
            <v>430</v>
          </cell>
          <cell r="J5">
            <v>5.134474327628368</v>
          </cell>
          <cell r="K5">
            <v>38.86397608370703</v>
          </cell>
          <cell r="L5">
            <v>36.106983655274895</v>
          </cell>
          <cell r="M5">
            <v>-2.7569924284321345</v>
          </cell>
          <cell r="N5">
            <v>136</v>
          </cell>
          <cell r="O5">
            <v>141</v>
          </cell>
          <cell r="P5">
            <v>3.6764705882353041</v>
          </cell>
          <cell r="Q5">
            <v>65</v>
          </cell>
          <cell r="R5">
            <v>68</v>
          </cell>
          <cell r="S5">
            <v>4.6153846153846274</v>
          </cell>
          <cell r="T5">
            <v>52.205882352941174</v>
          </cell>
          <cell r="U5">
            <v>51.773049645390074</v>
          </cell>
          <cell r="V5">
            <v>-0.43283270755109982</v>
          </cell>
          <cell r="W5">
            <v>2424</v>
          </cell>
          <cell r="X5">
            <v>2631</v>
          </cell>
          <cell r="Y5">
            <v>8.5396039603960361</v>
          </cell>
        </row>
        <row r="6">
          <cell r="A6" t="str">
            <v>AM</v>
          </cell>
          <cell r="B6">
            <v>1913</v>
          </cell>
          <cell r="C6">
            <v>1900</v>
          </cell>
          <cell r="D6">
            <v>-0.67956089911133688</v>
          </cell>
          <cell r="E6">
            <v>1902</v>
          </cell>
          <cell r="F6">
            <v>1889</v>
          </cell>
          <cell r="G6">
            <v>-0.68349106203994836</v>
          </cell>
          <cell r="H6">
            <v>1204</v>
          </cell>
          <cell r="I6">
            <v>1279</v>
          </cell>
          <cell r="J6">
            <v>6.2292358803986758</v>
          </cell>
          <cell r="K6">
            <v>36.698212407991591</v>
          </cell>
          <cell r="L6">
            <v>32.292218104817366</v>
          </cell>
          <cell r="M6">
            <v>-4.405994303174225</v>
          </cell>
          <cell r="N6">
            <v>227</v>
          </cell>
          <cell r="O6">
            <v>249</v>
          </cell>
          <cell r="P6">
            <v>9.6916299559471497</v>
          </cell>
          <cell r="Q6">
            <v>100</v>
          </cell>
          <cell r="R6">
            <v>118</v>
          </cell>
          <cell r="S6">
            <v>18</v>
          </cell>
          <cell r="T6">
            <v>55.947136563876654</v>
          </cell>
          <cell r="U6">
            <v>52.610441767068274</v>
          </cell>
          <cell r="V6">
            <v>-3.3366947968083807</v>
          </cell>
          <cell r="W6">
            <v>5706</v>
          </cell>
          <cell r="X6">
            <v>5997</v>
          </cell>
          <cell r="Y6">
            <v>5.0998948475289012</v>
          </cell>
        </row>
        <row r="7">
          <cell r="A7" t="str">
            <v>AP</v>
          </cell>
          <cell r="B7">
            <v>798</v>
          </cell>
          <cell r="C7">
            <v>802</v>
          </cell>
          <cell r="D7">
            <v>0.50125313283209039</v>
          </cell>
          <cell r="E7">
            <v>797</v>
          </cell>
          <cell r="F7">
            <v>801</v>
          </cell>
          <cell r="G7">
            <v>0.50188205771644334</v>
          </cell>
          <cell r="H7">
            <v>431</v>
          </cell>
          <cell r="I7">
            <v>462</v>
          </cell>
          <cell r="J7">
            <v>7.1925754060324891</v>
          </cell>
          <cell r="K7">
            <v>45.922208281053955</v>
          </cell>
          <cell r="L7">
            <v>42.322097378277157</v>
          </cell>
          <cell r="M7">
            <v>-3.6001109027767981</v>
          </cell>
          <cell r="N7">
            <v>262</v>
          </cell>
          <cell r="O7">
            <v>282</v>
          </cell>
          <cell r="P7">
            <v>7.6335877862595396</v>
          </cell>
          <cell r="Q7">
            <v>64</v>
          </cell>
          <cell r="R7">
            <v>84</v>
          </cell>
          <cell r="S7">
            <v>31.25</v>
          </cell>
          <cell r="T7">
            <v>75.572519083969468</v>
          </cell>
          <cell r="U7">
            <v>70.212765957446805</v>
          </cell>
          <cell r="V7">
            <v>-5.3597531265226621</v>
          </cell>
          <cell r="W7">
            <v>3069</v>
          </cell>
          <cell r="X7">
            <v>3314</v>
          </cell>
          <cell r="Y7">
            <v>7.9830563701531503</v>
          </cell>
        </row>
        <row r="8">
          <cell r="A8" t="str">
            <v>PA</v>
          </cell>
          <cell r="B8">
            <v>2991</v>
          </cell>
          <cell r="C8">
            <v>3022</v>
          </cell>
          <cell r="D8">
            <v>1.036442661317281</v>
          </cell>
          <cell r="E8">
            <v>2878</v>
          </cell>
          <cell r="F8">
            <v>2909</v>
          </cell>
          <cell r="G8">
            <v>1.0771369006254332</v>
          </cell>
          <cell r="H8">
            <v>1637</v>
          </cell>
          <cell r="I8">
            <v>1594</v>
          </cell>
          <cell r="J8">
            <v>-2.6267562614538775</v>
          </cell>
          <cell r="K8">
            <v>43.120222376650453</v>
          </cell>
          <cell r="L8">
            <v>45.204537641801302</v>
          </cell>
          <cell r="M8">
            <v>2.084315265150849</v>
          </cell>
          <cell r="N8">
            <v>375</v>
          </cell>
          <cell r="O8">
            <v>405</v>
          </cell>
          <cell r="P8">
            <v>8</v>
          </cell>
          <cell r="Q8">
            <v>119</v>
          </cell>
          <cell r="R8">
            <v>127</v>
          </cell>
          <cell r="S8">
            <v>6.7226890756302566</v>
          </cell>
          <cell r="T8">
            <v>68.266666666666666</v>
          </cell>
          <cell r="U8">
            <v>68.641975308641975</v>
          </cell>
          <cell r="V8">
            <v>0.37530864197530889</v>
          </cell>
          <cell r="W8">
            <v>7649</v>
          </cell>
          <cell r="X8">
            <v>8050</v>
          </cell>
          <cell r="Y8">
            <v>5.242515361485161</v>
          </cell>
        </row>
        <row r="9">
          <cell r="A9" t="str">
            <v>RO</v>
          </cell>
          <cell r="B9">
            <v>1285</v>
          </cell>
          <cell r="C9">
            <v>1337</v>
          </cell>
          <cell r="D9">
            <v>4.0466926070039051</v>
          </cell>
          <cell r="E9">
            <v>1278</v>
          </cell>
          <cell r="F9">
            <v>1330</v>
          </cell>
          <cell r="G9">
            <v>4.0688575899843471</v>
          </cell>
          <cell r="H9">
            <v>917</v>
          </cell>
          <cell r="I9">
            <v>956</v>
          </cell>
          <cell r="J9">
            <v>4.2529989094874452</v>
          </cell>
          <cell r="K9">
            <v>28.247261345852891</v>
          </cell>
          <cell r="L9">
            <v>28.120300751879697</v>
          </cell>
          <cell r="M9">
            <v>-0.12696059397319459</v>
          </cell>
          <cell r="N9">
            <v>225</v>
          </cell>
          <cell r="O9">
            <v>233</v>
          </cell>
          <cell r="P9">
            <v>3.5555555555555571</v>
          </cell>
          <cell r="Q9">
            <v>99</v>
          </cell>
          <cell r="R9">
            <v>105</v>
          </cell>
          <cell r="S9">
            <v>6.0606060606060623</v>
          </cell>
          <cell r="T9">
            <v>56</v>
          </cell>
          <cell r="U9">
            <v>54.935622317596568</v>
          </cell>
          <cell r="V9">
            <v>-1.0643776824034319</v>
          </cell>
          <cell r="W9">
            <v>10277</v>
          </cell>
          <cell r="X9">
            <v>10528</v>
          </cell>
          <cell r="Y9">
            <v>2.4423469884207378</v>
          </cell>
        </row>
        <row r="10">
          <cell r="A10" t="str">
            <v>RR</v>
          </cell>
          <cell r="B10">
            <v>243</v>
          </cell>
          <cell r="C10">
            <v>239</v>
          </cell>
          <cell r="D10">
            <v>-1.6460905349794217</v>
          </cell>
          <cell r="E10">
            <v>236</v>
          </cell>
          <cell r="F10">
            <v>232</v>
          </cell>
          <cell r="G10">
            <v>-1.6949152542372872</v>
          </cell>
          <cell r="H10">
            <v>158</v>
          </cell>
          <cell r="I10">
            <v>149</v>
          </cell>
          <cell r="J10">
            <v>-5.696202531645568</v>
          </cell>
          <cell r="K10">
            <v>33.050847457627114</v>
          </cell>
          <cell r="L10">
            <v>35.775862068965509</v>
          </cell>
          <cell r="M10">
            <v>2.7250146113383948</v>
          </cell>
          <cell r="N10">
            <v>60</v>
          </cell>
          <cell r="O10">
            <v>62</v>
          </cell>
          <cell r="P10">
            <v>3.3333333333333428</v>
          </cell>
          <cell r="Q10">
            <v>21</v>
          </cell>
          <cell r="R10">
            <v>21</v>
          </cell>
          <cell r="S10">
            <v>0</v>
          </cell>
          <cell r="T10">
            <v>65</v>
          </cell>
          <cell r="U10">
            <v>66.129032258064512</v>
          </cell>
          <cell r="V10">
            <v>1.1290322580645125</v>
          </cell>
          <cell r="W10">
            <v>1244</v>
          </cell>
          <cell r="X10">
            <v>1258</v>
          </cell>
          <cell r="Y10">
            <v>1.1254019292604482</v>
          </cell>
        </row>
        <row r="11">
          <cell r="A11" t="str">
            <v>TO</v>
          </cell>
          <cell r="B11">
            <v>771</v>
          </cell>
          <cell r="C11">
            <v>828</v>
          </cell>
          <cell r="D11">
            <v>7.3929961089494185</v>
          </cell>
          <cell r="E11">
            <v>758</v>
          </cell>
          <cell r="F11">
            <v>815</v>
          </cell>
          <cell r="G11">
            <v>7.5197889182057907</v>
          </cell>
          <cell r="H11">
            <v>547</v>
          </cell>
          <cell r="I11">
            <v>586</v>
          </cell>
          <cell r="J11">
            <v>7.1297989031078544</v>
          </cell>
          <cell r="K11">
            <v>27.836411609498683</v>
          </cell>
          <cell r="L11">
            <v>28.098159509202461</v>
          </cell>
          <cell r="M11">
            <v>0.26174789970377788</v>
          </cell>
          <cell r="N11">
            <v>195</v>
          </cell>
          <cell r="O11">
            <v>206</v>
          </cell>
          <cell r="P11">
            <v>5.6410256410256494</v>
          </cell>
          <cell r="Q11">
            <v>71</v>
          </cell>
          <cell r="R11">
            <v>75</v>
          </cell>
          <cell r="S11">
            <v>5.6338028169014081</v>
          </cell>
          <cell r="T11">
            <v>63.589743589743591</v>
          </cell>
          <cell r="U11">
            <v>63.592233009708735</v>
          </cell>
          <cell r="V11">
            <v>2.4894199651441795E-3</v>
          </cell>
          <cell r="W11">
            <v>5304</v>
          </cell>
          <cell r="X11">
            <v>5427</v>
          </cell>
          <cell r="Y11">
            <v>2.3190045248868643</v>
          </cell>
        </row>
        <row r="12">
          <cell r="A12" t="str">
            <v>Soma (N)</v>
          </cell>
          <cell r="B12">
            <v>8675</v>
          </cell>
          <cell r="C12">
            <v>8806</v>
          </cell>
          <cell r="D12">
            <v>1.5100864553314182</v>
          </cell>
          <cell r="E12">
            <v>8518</v>
          </cell>
          <cell r="F12">
            <v>8649</v>
          </cell>
          <cell r="G12">
            <v>1.5379196994599766</v>
          </cell>
          <cell r="H12">
            <v>5303</v>
          </cell>
          <cell r="I12">
            <v>5456</v>
          </cell>
          <cell r="J12">
            <v>2.8851593437676684</v>
          </cell>
          <cell r="K12">
            <v>37.743601784456452</v>
          </cell>
          <cell r="L12">
            <v>36.917562724014338</v>
          </cell>
          <cell r="M12">
            <v>-0.82603906044211328</v>
          </cell>
          <cell r="N12">
            <v>1480</v>
          </cell>
          <cell r="O12">
            <v>1578</v>
          </cell>
          <cell r="P12">
            <v>6.6216216216216282</v>
          </cell>
          <cell r="Q12">
            <v>539</v>
          </cell>
          <cell r="R12">
            <v>598</v>
          </cell>
          <cell r="S12">
            <v>10.946196660482371</v>
          </cell>
          <cell r="T12">
            <v>63.581081081081081</v>
          </cell>
          <cell r="U12">
            <v>62.103929024081118</v>
          </cell>
          <cell r="V12">
            <v>-1.4771520569999623</v>
          </cell>
          <cell r="W12">
            <v>35673</v>
          </cell>
          <cell r="X12">
            <v>37205</v>
          </cell>
          <cell r="Y12">
            <v>4.2945645165811612</v>
          </cell>
        </row>
        <row r="13">
          <cell r="A13" t="str">
            <v>AL</v>
          </cell>
          <cell r="B13">
            <v>2088</v>
          </cell>
          <cell r="C13">
            <v>2099</v>
          </cell>
          <cell r="D13">
            <v>0.52681992337164729</v>
          </cell>
          <cell r="E13">
            <v>2040</v>
          </cell>
          <cell r="F13">
            <v>2051</v>
          </cell>
          <cell r="G13">
            <v>0.53921568627450256</v>
          </cell>
          <cell r="H13">
            <v>1293</v>
          </cell>
          <cell r="I13">
            <v>1358</v>
          </cell>
          <cell r="J13">
            <v>5.027068832173228</v>
          </cell>
          <cell r="K13">
            <v>36.617647058823536</v>
          </cell>
          <cell r="L13">
            <v>33.788395904436868</v>
          </cell>
          <cell r="M13">
            <v>-2.8292511543866681</v>
          </cell>
          <cell r="N13">
            <v>157</v>
          </cell>
          <cell r="O13">
            <v>166</v>
          </cell>
          <cell r="P13">
            <v>5.7324840764331242</v>
          </cell>
          <cell r="Q13">
            <v>63</v>
          </cell>
          <cell r="R13">
            <v>72</v>
          </cell>
          <cell r="S13">
            <v>14.285714285714278</v>
          </cell>
          <cell r="T13">
            <v>59.872611464968152</v>
          </cell>
          <cell r="U13">
            <v>56.626506024096386</v>
          </cell>
          <cell r="V13">
            <v>-3.2461054408717658</v>
          </cell>
          <cell r="W13">
            <v>6850</v>
          </cell>
          <cell r="X13">
            <v>7110</v>
          </cell>
          <cell r="Y13">
            <v>3.7956204379562024</v>
          </cell>
        </row>
        <row r="14">
          <cell r="A14" t="str">
            <v>BA</v>
          </cell>
          <cell r="B14">
            <v>6604</v>
          </cell>
          <cell r="C14">
            <v>6994</v>
          </cell>
          <cell r="D14">
            <v>5.9055118110236151</v>
          </cell>
          <cell r="E14">
            <v>5885</v>
          </cell>
          <cell r="F14">
            <v>6275</v>
          </cell>
          <cell r="G14">
            <v>6.6270178419711101</v>
          </cell>
          <cell r="H14">
            <v>4157</v>
          </cell>
          <cell r="I14">
            <v>4339</v>
          </cell>
          <cell r="J14">
            <v>4.3781573249939782</v>
          </cell>
          <cell r="K14">
            <v>29.362786745964314</v>
          </cell>
          <cell r="L14">
            <v>30.852589641434264</v>
          </cell>
          <cell r="M14">
            <v>1.4898028954699498</v>
          </cell>
          <cell r="N14">
            <v>995</v>
          </cell>
          <cell r="O14">
            <v>989</v>
          </cell>
          <cell r="P14">
            <v>-0.60301507537688792</v>
          </cell>
          <cell r="Q14">
            <v>485</v>
          </cell>
          <cell r="R14">
            <v>485</v>
          </cell>
          <cell r="S14">
            <v>0</v>
          </cell>
          <cell r="T14">
            <v>51.256281407035175</v>
          </cell>
          <cell r="U14">
            <v>50.960566228513649</v>
          </cell>
          <cell r="V14">
            <v>-0.29571517852152596</v>
          </cell>
          <cell r="W14">
            <v>17121</v>
          </cell>
          <cell r="X14">
            <v>17891</v>
          </cell>
          <cell r="Y14">
            <v>4.4974008527539127</v>
          </cell>
        </row>
        <row r="15">
          <cell r="A15" t="str">
            <v>CE</v>
          </cell>
          <cell r="B15">
            <v>3965</v>
          </cell>
          <cell r="C15">
            <v>4388</v>
          </cell>
          <cell r="D15">
            <v>10.668348045397224</v>
          </cell>
          <cell r="E15">
            <v>3826</v>
          </cell>
          <cell r="F15">
            <v>4249</v>
          </cell>
          <cell r="G15">
            <v>11.05593308938839</v>
          </cell>
          <cell r="H15">
            <v>2390</v>
          </cell>
          <cell r="I15">
            <v>2877</v>
          </cell>
          <cell r="J15">
            <v>20.376569037656907</v>
          </cell>
          <cell r="K15">
            <v>37.532671197072666</v>
          </cell>
          <cell r="L15">
            <v>32.289950576606259</v>
          </cell>
          <cell r="M15">
            <v>-5.2427206204664074</v>
          </cell>
          <cell r="N15">
            <v>387</v>
          </cell>
          <cell r="O15">
            <v>422</v>
          </cell>
          <cell r="P15">
            <v>9.0439276485788156</v>
          </cell>
          <cell r="Q15">
            <v>215</v>
          </cell>
          <cell r="R15">
            <v>243</v>
          </cell>
          <cell r="S15">
            <v>13.023255813953497</v>
          </cell>
          <cell r="T15">
            <v>44.444444444444443</v>
          </cell>
          <cell r="U15">
            <v>42.417061611374407</v>
          </cell>
          <cell r="V15">
            <v>-2.0273828330700354</v>
          </cell>
          <cell r="W15">
            <v>10767</v>
          </cell>
          <cell r="X15">
            <v>11612</v>
          </cell>
          <cell r="Y15">
            <v>7.8480542398068138</v>
          </cell>
        </row>
        <row r="16">
          <cell r="A16" t="str">
            <v>MA</v>
          </cell>
          <cell r="B16">
            <v>1795</v>
          </cell>
          <cell r="C16">
            <v>2017</v>
          </cell>
          <cell r="D16">
            <v>12.367688022284113</v>
          </cell>
          <cell r="E16">
            <v>1773</v>
          </cell>
          <cell r="F16">
            <v>1995</v>
          </cell>
          <cell r="G16">
            <v>12.521150592216586</v>
          </cell>
          <cell r="H16">
            <v>1067</v>
          </cell>
          <cell r="I16">
            <v>1267</v>
          </cell>
          <cell r="J16">
            <v>18.74414245548266</v>
          </cell>
          <cell r="K16">
            <v>39.819514946418501</v>
          </cell>
          <cell r="L16">
            <v>36.491228070175438</v>
          </cell>
          <cell r="M16">
            <v>-3.3282868762430624</v>
          </cell>
          <cell r="N16">
            <v>272</v>
          </cell>
          <cell r="O16">
            <v>291</v>
          </cell>
          <cell r="P16">
            <v>6.985294117647058</v>
          </cell>
          <cell r="Q16">
            <v>99</v>
          </cell>
          <cell r="R16">
            <v>106</v>
          </cell>
          <cell r="S16">
            <v>7.0707070707070727</v>
          </cell>
          <cell r="T16">
            <v>63.602941176470587</v>
          </cell>
          <cell r="U16">
            <v>63.573883161512029</v>
          </cell>
          <cell r="V16">
            <v>-2.9058014958557976E-2</v>
          </cell>
          <cell r="W16">
            <v>4898</v>
          </cell>
          <cell r="X16">
            <v>5338</v>
          </cell>
          <cell r="Y16">
            <v>8.9832584728460745</v>
          </cell>
        </row>
        <row r="17">
          <cell r="A17" t="str">
            <v>PB</v>
          </cell>
          <cell r="B17">
            <v>2745</v>
          </cell>
          <cell r="C17">
            <v>2962</v>
          </cell>
          <cell r="D17">
            <v>7.9052823315118417</v>
          </cell>
          <cell r="E17">
            <v>2700</v>
          </cell>
          <cell r="F17">
            <v>2917</v>
          </cell>
          <cell r="G17">
            <v>8.0370370370370381</v>
          </cell>
          <cell r="H17">
            <v>1744</v>
          </cell>
          <cell r="I17">
            <v>1987</v>
          </cell>
          <cell r="J17">
            <v>13.933486238532097</v>
          </cell>
          <cell r="K17">
            <v>35.407407407407405</v>
          </cell>
          <cell r="L17">
            <v>31.882070620500514</v>
          </cell>
          <cell r="M17">
            <v>-3.525336786906891</v>
          </cell>
          <cell r="N17">
            <v>499</v>
          </cell>
          <cell r="O17">
            <v>503</v>
          </cell>
          <cell r="P17">
            <v>0.80160320641282112</v>
          </cell>
          <cell r="Q17">
            <v>157</v>
          </cell>
          <cell r="R17">
            <v>164</v>
          </cell>
          <cell r="S17">
            <v>4.4585987261146443</v>
          </cell>
          <cell r="T17">
            <v>68.537074148296597</v>
          </cell>
          <cell r="U17">
            <v>67.395626242544722</v>
          </cell>
          <cell r="V17">
            <v>-1.1414479057518747</v>
          </cell>
          <cell r="W17">
            <v>8951</v>
          </cell>
          <cell r="X17">
            <v>9453</v>
          </cell>
          <cell r="Y17">
            <v>5.6083119204558045</v>
          </cell>
        </row>
        <row r="18">
          <cell r="A18" t="str">
            <v>PE</v>
          </cell>
          <cell r="B18">
            <v>5248</v>
          </cell>
          <cell r="C18">
            <v>5230</v>
          </cell>
          <cell r="D18">
            <v>-0.34298780487804947</v>
          </cell>
          <cell r="E18">
            <v>4935</v>
          </cell>
          <cell r="F18">
            <v>4917</v>
          </cell>
          <cell r="G18">
            <v>-0.36474164133738896</v>
          </cell>
          <cell r="H18">
            <v>3508</v>
          </cell>
          <cell r="I18">
            <v>3772</v>
          </cell>
          <cell r="J18">
            <v>7.5256556442417235</v>
          </cell>
          <cell r="K18">
            <v>28.915906788247213</v>
          </cell>
          <cell r="L18">
            <v>23.286556843603819</v>
          </cell>
          <cell r="M18">
            <v>-5.6293499446433941</v>
          </cell>
          <cell r="N18">
            <v>619</v>
          </cell>
          <cell r="O18">
            <v>575</v>
          </cell>
          <cell r="P18">
            <v>-7.1082390953150281</v>
          </cell>
          <cell r="Q18">
            <v>348</v>
          </cell>
          <cell r="R18">
            <v>355</v>
          </cell>
          <cell r="S18">
            <v>2.0114942528735753</v>
          </cell>
          <cell r="T18">
            <v>43.780290791599356</v>
          </cell>
          <cell r="U18">
            <v>38.260869565217391</v>
          </cell>
          <cell r="V18">
            <v>-5.5194212263819651</v>
          </cell>
          <cell r="W18">
            <v>15788</v>
          </cell>
          <cell r="X18">
            <v>17862</v>
          </cell>
          <cell r="Y18">
            <v>13.13655941221181</v>
          </cell>
        </row>
        <row r="19">
          <cell r="A19" t="str">
            <v>PI</v>
          </cell>
          <cell r="B19">
            <v>1396</v>
          </cell>
          <cell r="C19">
            <v>1495</v>
          </cell>
          <cell r="D19">
            <v>7.0916905444126144</v>
          </cell>
          <cell r="E19">
            <v>1363</v>
          </cell>
          <cell r="F19">
            <v>1462</v>
          </cell>
          <cell r="G19">
            <v>7.2633895818048302</v>
          </cell>
          <cell r="H19">
            <v>955</v>
          </cell>
          <cell r="I19">
            <v>1085</v>
          </cell>
          <cell r="J19">
            <v>13.612565445026178</v>
          </cell>
          <cell r="K19">
            <v>29.933969185619958</v>
          </cell>
          <cell r="L19">
            <v>25.786593707250333</v>
          </cell>
          <cell r="M19">
            <v>-4.1473754783696251</v>
          </cell>
          <cell r="N19">
            <v>240</v>
          </cell>
          <cell r="O19">
            <v>266</v>
          </cell>
          <cell r="P19">
            <v>10.833333333333343</v>
          </cell>
          <cell r="Q19">
            <v>130</v>
          </cell>
          <cell r="R19">
            <v>150</v>
          </cell>
          <cell r="S19">
            <v>15.384615384615373</v>
          </cell>
          <cell r="T19">
            <v>45.833333333333336</v>
          </cell>
          <cell r="U19">
            <v>43.609022556390975</v>
          </cell>
          <cell r="V19">
            <v>-2.2243107769423602</v>
          </cell>
          <cell r="W19">
            <v>4186</v>
          </cell>
          <cell r="X19">
            <v>4578</v>
          </cell>
          <cell r="Y19">
            <v>9.3645484949832678</v>
          </cell>
        </row>
        <row r="20">
          <cell r="A20" t="str">
            <v>RN</v>
          </cell>
          <cell r="B20">
            <v>2614</v>
          </cell>
          <cell r="C20">
            <v>2626</v>
          </cell>
          <cell r="D20">
            <v>0.45906656465186302</v>
          </cell>
          <cell r="E20">
            <v>2570</v>
          </cell>
          <cell r="F20">
            <v>2582</v>
          </cell>
          <cell r="G20">
            <v>0.46692607003890885</v>
          </cell>
          <cell r="H20">
            <v>1735</v>
          </cell>
          <cell r="I20">
            <v>1813</v>
          </cell>
          <cell r="J20">
            <v>4.4956772334293902</v>
          </cell>
          <cell r="K20">
            <v>32.490272373540847</v>
          </cell>
          <cell r="L20">
            <v>29.783113865220756</v>
          </cell>
          <cell r="M20">
            <v>-2.7071585083200915</v>
          </cell>
          <cell r="N20">
            <v>296</v>
          </cell>
          <cell r="O20">
            <v>305</v>
          </cell>
          <cell r="P20">
            <v>3.0405405405405475</v>
          </cell>
          <cell r="Q20">
            <v>127</v>
          </cell>
          <cell r="R20">
            <v>135</v>
          </cell>
          <cell r="S20">
            <v>6.2992125984252141</v>
          </cell>
          <cell r="T20">
            <v>57.094594594594597</v>
          </cell>
          <cell r="U20">
            <v>55.73770491803279</v>
          </cell>
          <cell r="V20">
            <v>-1.3568896765618064</v>
          </cell>
          <cell r="W20">
            <v>8370</v>
          </cell>
          <cell r="X20">
            <v>9778</v>
          </cell>
          <cell r="Y20">
            <v>16.821983273596189</v>
          </cell>
        </row>
        <row r="21">
          <cell r="A21" t="str">
            <v>SE</v>
          </cell>
          <cell r="B21">
            <v>1509</v>
          </cell>
          <cell r="C21">
            <v>1553</v>
          </cell>
          <cell r="D21">
            <v>2.9158383035122597</v>
          </cell>
          <cell r="E21">
            <v>1481</v>
          </cell>
          <cell r="F21">
            <v>1525</v>
          </cell>
          <cell r="G21">
            <v>2.9709655638082495</v>
          </cell>
          <cell r="H21">
            <v>998</v>
          </cell>
          <cell r="I21">
            <v>1075</v>
          </cell>
          <cell r="J21">
            <v>7.7154308617234335</v>
          </cell>
          <cell r="K21">
            <v>32.613099257258611</v>
          </cell>
          <cell r="L21">
            <v>29.508196721311478</v>
          </cell>
          <cell r="M21">
            <v>-3.1049025359471329</v>
          </cell>
          <cell r="N21">
            <v>164</v>
          </cell>
          <cell r="O21">
            <v>175</v>
          </cell>
          <cell r="P21">
            <v>6.7073170731707421</v>
          </cell>
          <cell r="Q21">
            <v>86</v>
          </cell>
          <cell r="R21">
            <v>104</v>
          </cell>
          <cell r="S21">
            <v>20.930232558139522</v>
          </cell>
          <cell r="T21">
            <v>47.560975609756099</v>
          </cell>
          <cell r="U21">
            <v>40.571428571428569</v>
          </cell>
          <cell r="V21">
            <v>-6.9895470383275295</v>
          </cell>
          <cell r="W21">
            <v>6316</v>
          </cell>
          <cell r="X21">
            <v>6685</v>
          </cell>
          <cell r="Y21">
            <v>5.842305256491457</v>
          </cell>
        </row>
        <row r="22">
          <cell r="A22" t="str">
            <v>Soma(NE)</v>
          </cell>
          <cell r="B22">
            <v>27964</v>
          </cell>
          <cell r="C22">
            <v>29364</v>
          </cell>
          <cell r="D22">
            <v>5.0064368473752126</v>
          </cell>
          <cell r="E22">
            <v>26573</v>
          </cell>
          <cell r="F22">
            <v>27973</v>
          </cell>
          <cell r="G22">
            <v>5.2685056260113612</v>
          </cell>
          <cell r="H22">
            <v>17847</v>
          </cell>
          <cell r="I22">
            <v>19573</v>
          </cell>
          <cell r="J22">
            <v>9.6710931809267606</v>
          </cell>
          <cell r="K22">
            <v>32.837842923267985</v>
          </cell>
          <cell r="L22">
            <v>30.028956493761839</v>
          </cell>
          <cell r="M22">
            <v>-2.8088864295061455</v>
          </cell>
          <cell r="N22">
            <v>3629</v>
          </cell>
          <cell r="O22">
            <v>3692</v>
          </cell>
          <cell r="P22">
            <v>1.7360154312482905</v>
          </cell>
          <cell r="Q22">
            <v>1710</v>
          </cell>
          <cell r="R22">
            <v>1814</v>
          </cell>
          <cell r="S22">
            <v>6.0818713450292421</v>
          </cell>
          <cell r="T22">
            <v>52.879581151832461</v>
          </cell>
          <cell r="U22">
            <v>50.866738894907911</v>
          </cell>
          <cell r="V22">
            <v>-2.0128422569245501</v>
          </cell>
          <cell r="W22">
            <v>83247</v>
          </cell>
          <cell r="X22">
            <v>90307</v>
          </cell>
          <cell r="Y22">
            <v>8.4807860943938067</v>
          </cell>
        </row>
        <row r="23">
          <cell r="A23" t="str">
            <v>DF</v>
          </cell>
          <cell r="B23">
            <v>6461</v>
          </cell>
          <cell r="C23">
            <v>6599</v>
          </cell>
          <cell r="D23">
            <v>2.1358922767373372</v>
          </cell>
          <cell r="E23">
            <v>6017</v>
          </cell>
          <cell r="F23">
            <v>6155</v>
          </cell>
          <cell r="G23">
            <v>2.2935017450556643</v>
          </cell>
          <cell r="H23">
            <v>4333</v>
          </cell>
          <cell r="I23">
            <v>4526</v>
          </cell>
          <cell r="J23">
            <v>4.4541887837525849</v>
          </cell>
          <cell r="K23">
            <v>27.98736912082434</v>
          </cell>
          <cell r="L23">
            <v>26.466287571080429</v>
          </cell>
          <cell r="M23">
            <v>-1.5210815497439114</v>
          </cell>
          <cell r="N23">
            <v>739</v>
          </cell>
          <cell r="O23">
            <v>766</v>
          </cell>
          <cell r="P23">
            <v>3.6535859269282867</v>
          </cell>
          <cell r="Q23">
            <v>321</v>
          </cell>
          <cell r="R23">
            <v>335</v>
          </cell>
          <cell r="S23">
            <v>4.3613707165109048</v>
          </cell>
          <cell r="T23">
            <v>56.562922868741545</v>
          </cell>
          <cell r="U23">
            <v>56.266318537859007</v>
          </cell>
          <cell r="V23">
            <v>-0.29660433088253768</v>
          </cell>
          <cell r="W23">
            <v>16591</v>
          </cell>
          <cell r="X23">
            <v>17553</v>
          </cell>
          <cell r="Y23">
            <v>5.798324392743055</v>
          </cell>
        </row>
        <row r="24">
          <cell r="A24" t="str">
            <v>GO</v>
          </cell>
          <cell r="B24">
            <v>4913</v>
          </cell>
          <cell r="C24">
            <v>5057</v>
          </cell>
          <cell r="D24">
            <v>2.9309993893751312</v>
          </cell>
          <cell r="E24">
            <v>4749</v>
          </cell>
          <cell r="F24">
            <v>4893</v>
          </cell>
          <cell r="G24">
            <v>3.0322173089071498</v>
          </cell>
          <cell r="H24">
            <v>3301</v>
          </cell>
          <cell r="I24">
            <v>3610</v>
          </cell>
          <cell r="J24">
            <v>9.3607997576492039</v>
          </cell>
          <cell r="K24">
            <v>30.490629606232886</v>
          </cell>
          <cell r="L24">
            <v>26.22113222971592</v>
          </cell>
          <cell r="M24">
            <v>-4.2694973765169664</v>
          </cell>
          <cell r="N24">
            <v>652</v>
          </cell>
          <cell r="O24">
            <v>697</v>
          </cell>
          <cell r="P24">
            <v>6.9018404907975395</v>
          </cell>
          <cell r="Q24">
            <v>334</v>
          </cell>
          <cell r="R24">
            <v>212</v>
          </cell>
          <cell r="S24">
            <v>-36.526946107784433</v>
          </cell>
          <cell r="T24">
            <v>48.773006134969322</v>
          </cell>
          <cell r="U24">
            <v>69.58393113342899</v>
          </cell>
          <cell r="V24">
            <v>20.810924998459669</v>
          </cell>
          <cell r="W24">
            <v>28173</v>
          </cell>
          <cell r="X24">
            <v>30060</v>
          </cell>
          <cell r="Y24">
            <v>6.6979022468320721</v>
          </cell>
        </row>
        <row r="25">
          <cell r="A25" t="str">
            <v>MS</v>
          </cell>
          <cell r="B25">
            <v>3457</v>
          </cell>
          <cell r="C25">
            <v>3591</v>
          </cell>
          <cell r="D25">
            <v>3.8761932311252423</v>
          </cell>
          <cell r="E25">
            <v>3405</v>
          </cell>
          <cell r="F25">
            <v>3539</v>
          </cell>
          <cell r="G25">
            <v>3.9353891336270124</v>
          </cell>
          <cell r="H25">
            <v>2020</v>
          </cell>
          <cell r="I25">
            <v>2213</v>
          </cell>
          <cell r="J25">
            <v>9.5544554455445621</v>
          </cell>
          <cell r="K25">
            <v>40.675477239353896</v>
          </cell>
          <cell r="L25">
            <v>37.468211359141002</v>
          </cell>
          <cell r="M25">
            <v>-3.2072658802128942</v>
          </cell>
          <cell r="N25">
            <v>649</v>
          </cell>
          <cell r="O25">
            <v>663</v>
          </cell>
          <cell r="P25">
            <v>2.1571648690292875</v>
          </cell>
          <cell r="Q25">
            <v>302</v>
          </cell>
          <cell r="R25">
            <v>312</v>
          </cell>
          <cell r="S25">
            <v>3.3112582781456865</v>
          </cell>
          <cell r="T25">
            <v>53.466872110939903</v>
          </cell>
          <cell r="U25">
            <v>52.941176470588239</v>
          </cell>
          <cell r="V25">
            <v>-0.52569564035166394</v>
          </cell>
          <cell r="W25">
            <v>20507</v>
          </cell>
          <cell r="X25">
            <v>21900</v>
          </cell>
          <cell r="Y25">
            <v>6.7928024576973769</v>
          </cell>
        </row>
        <row r="26">
          <cell r="A26" t="str">
            <v>MT</v>
          </cell>
          <cell r="B26">
            <v>3386</v>
          </cell>
          <cell r="C26">
            <v>3382</v>
          </cell>
          <cell r="D26">
            <v>-0.11813349084465585</v>
          </cell>
          <cell r="E26">
            <v>3354</v>
          </cell>
          <cell r="F26">
            <v>3350</v>
          </cell>
          <cell r="G26">
            <v>-0.11926058437687459</v>
          </cell>
          <cell r="H26">
            <v>2601</v>
          </cell>
          <cell r="I26">
            <v>2595</v>
          </cell>
          <cell r="J26">
            <v>-0.23068050749711233</v>
          </cell>
          <cell r="K26">
            <v>22.450805008944542</v>
          </cell>
          <cell r="L26">
            <v>22.53731343283583</v>
          </cell>
          <cell r="M26">
            <v>8.6508423891288544E-2</v>
          </cell>
          <cell r="N26">
            <v>577</v>
          </cell>
          <cell r="O26">
            <v>615</v>
          </cell>
          <cell r="P26">
            <v>6.5857885615251348</v>
          </cell>
          <cell r="Q26">
            <v>252</v>
          </cell>
          <cell r="R26">
            <v>274</v>
          </cell>
          <cell r="S26">
            <v>8.7301587301587205</v>
          </cell>
          <cell r="T26">
            <v>56.32582322357019</v>
          </cell>
          <cell r="U26">
            <v>55.447154471544714</v>
          </cell>
          <cell r="V26">
            <v>-0.8786687520254759</v>
          </cell>
          <cell r="W26">
            <v>34158</v>
          </cell>
          <cell r="X26">
            <v>33327</v>
          </cell>
          <cell r="Y26">
            <v>-2.4328122255401325</v>
          </cell>
        </row>
        <row r="27">
          <cell r="A27" t="str">
            <v>Soma(CO)</v>
          </cell>
          <cell r="B27">
            <v>18217</v>
          </cell>
          <cell r="C27">
            <v>18629</v>
          </cell>
          <cell r="D27">
            <v>2.2616237580282075</v>
          </cell>
          <cell r="E27">
            <v>17525</v>
          </cell>
          <cell r="F27">
            <v>17937</v>
          </cell>
          <cell r="G27">
            <v>2.3509272467902917</v>
          </cell>
          <cell r="H27">
            <v>12255</v>
          </cell>
          <cell r="I27">
            <v>12944</v>
          </cell>
          <cell r="J27">
            <v>5.6221950224398114</v>
          </cell>
          <cell r="K27">
            <v>30.071326676176895</v>
          </cell>
          <cell r="L27">
            <v>27.836315994870944</v>
          </cell>
          <cell r="M27">
            <v>-2.2350106813059512</v>
          </cell>
          <cell r="N27">
            <v>2617</v>
          </cell>
          <cell r="O27">
            <v>2741</v>
          </cell>
          <cell r="P27">
            <v>4.7382499044707629</v>
          </cell>
          <cell r="Q27">
            <v>1209</v>
          </cell>
          <cell r="R27">
            <v>1133</v>
          </cell>
          <cell r="S27">
            <v>-6.2861869313482259</v>
          </cell>
          <cell r="T27">
            <v>53.802063431410012</v>
          </cell>
          <cell r="U27">
            <v>58.66472090477928</v>
          </cell>
          <cell r="V27">
            <v>4.8626574733692678</v>
          </cell>
          <cell r="W27">
            <v>99429</v>
          </cell>
          <cell r="X27">
            <v>102840</v>
          </cell>
          <cell r="Y27">
            <v>3.4305886612557686</v>
          </cell>
        </row>
        <row r="28">
          <cell r="A28" t="str">
            <v>ES</v>
          </cell>
          <cell r="B28">
            <v>3724</v>
          </cell>
          <cell r="C28">
            <v>3816</v>
          </cell>
          <cell r="D28">
            <v>2.4704618689581253</v>
          </cell>
          <cell r="E28">
            <v>3657</v>
          </cell>
          <cell r="F28">
            <v>3749</v>
          </cell>
          <cell r="G28">
            <v>2.5157232704402475</v>
          </cell>
          <cell r="H28">
            <v>3073</v>
          </cell>
          <cell r="I28">
            <v>3385</v>
          </cell>
          <cell r="J28">
            <v>10.152945004881218</v>
          </cell>
          <cell r="K28">
            <v>15.969373803664212</v>
          </cell>
          <cell r="L28">
            <v>9.7092558015470729</v>
          </cell>
          <cell r="M28">
            <v>-6.2601180021171388</v>
          </cell>
          <cell r="N28">
            <v>449</v>
          </cell>
          <cell r="O28">
            <v>457</v>
          </cell>
          <cell r="P28">
            <v>1.7817371937639166</v>
          </cell>
          <cell r="Q28">
            <v>296</v>
          </cell>
          <cell r="R28">
            <v>334</v>
          </cell>
          <cell r="S28">
            <v>12.837837837837824</v>
          </cell>
          <cell r="T28">
            <v>34.075723830734972</v>
          </cell>
          <cell r="U28">
            <v>26.914660831509849</v>
          </cell>
          <cell r="V28">
            <v>-7.1610629992251233</v>
          </cell>
          <cell r="W28">
            <v>14638</v>
          </cell>
          <cell r="X28">
            <v>14858</v>
          </cell>
          <cell r="Y28">
            <v>1.5029375597759298</v>
          </cell>
        </row>
        <row r="29">
          <cell r="A29" t="str">
            <v>MG</v>
          </cell>
          <cell r="B29">
            <v>16157</v>
          </cell>
          <cell r="C29">
            <v>16767</v>
          </cell>
          <cell r="D29">
            <v>3.775453363867058</v>
          </cell>
          <cell r="E29">
            <v>15561</v>
          </cell>
          <cell r="F29">
            <v>16171</v>
          </cell>
          <cell r="G29">
            <v>3.920056551635497</v>
          </cell>
          <cell r="H29">
            <v>11038</v>
          </cell>
          <cell r="I29">
            <v>11936</v>
          </cell>
          <cell r="J29">
            <v>8.1355317992389757</v>
          </cell>
          <cell r="K29">
            <v>29.066255382044858</v>
          </cell>
          <cell r="L29">
            <v>26.188856595139441</v>
          </cell>
          <cell r="M29">
            <v>-2.8773987869054167</v>
          </cell>
          <cell r="N29">
            <v>1781</v>
          </cell>
          <cell r="O29">
            <v>1781</v>
          </cell>
          <cell r="P29">
            <v>0</v>
          </cell>
          <cell r="Q29">
            <v>1011</v>
          </cell>
          <cell r="R29">
            <v>1073</v>
          </cell>
          <cell r="S29">
            <v>6.1325420375865463</v>
          </cell>
          <cell r="T29">
            <v>43.234138124649071</v>
          </cell>
          <cell r="U29">
            <v>39.752947782144865</v>
          </cell>
          <cell r="V29">
            <v>-3.4811903425042061</v>
          </cell>
          <cell r="W29">
            <v>54412</v>
          </cell>
          <cell r="X29">
            <v>56243</v>
          </cell>
          <cell r="Y29">
            <v>3.3650665294420463</v>
          </cell>
        </row>
        <row r="30">
          <cell r="A30" t="str">
            <v>RJ</v>
          </cell>
          <cell r="B30">
            <v>20604</v>
          </cell>
          <cell r="C30">
            <v>21006</v>
          </cell>
          <cell r="D30">
            <v>1.9510774606872587</v>
          </cell>
          <cell r="E30">
            <v>17711</v>
          </cell>
          <cell r="F30">
            <v>18113</v>
          </cell>
          <cell r="G30">
            <v>2.2697758455197317</v>
          </cell>
          <cell r="H30">
            <v>12586</v>
          </cell>
          <cell r="I30">
            <v>12784</v>
          </cell>
          <cell r="J30">
            <v>1.5731765453678577</v>
          </cell>
          <cell r="K30">
            <v>28.936818926091135</v>
          </cell>
          <cell r="L30">
            <v>29.420857947330646</v>
          </cell>
          <cell r="M30">
            <v>0.4840390212395107</v>
          </cell>
          <cell r="N30">
            <v>2812</v>
          </cell>
          <cell r="O30">
            <v>2812</v>
          </cell>
          <cell r="P30">
            <v>0</v>
          </cell>
          <cell r="Q30">
            <v>1558</v>
          </cell>
          <cell r="R30">
            <v>1558</v>
          </cell>
          <cell r="S30">
            <v>0</v>
          </cell>
          <cell r="T30">
            <v>44.594594594594597</v>
          </cell>
          <cell r="U30">
            <v>44.594594594594597</v>
          </cell>
          <cell r="V30">
            <v>0</v>
          </cell>
          <cell r="W30">
            <v>48751</v>
          </cell>
          <cell r="X30">
            <v>53770</v>
          </cell>
          <cell r="Y30">
            <v>10.295173432339851</v>
          </cell>
        </row>
        <row r="31">
          <cell r="A31" t="str">
            <v>SP</v>
          </cell>
          <cell r="B31">
            <v>65441</v>
          </cell>
          <cell r="C31">
            <v>64529</v>
          </cell>
          <cell r="D31">
            <v>-1.3936217356091731</v>
          </cell>
          <cell r="E31">
            <v>61838</v>
          </cell>
          <cell r="F31">
            <v>60926</v>
          </cell>
          <cell r="G31">
            <v>-1.4748213072867742</v>
          </cell>
          <cell r="H31">
            <v>39467</v>
          </cell>
          <cell r="I31">
            <v>43802</v>
          </cell>
          <cell r="J31">
            <v>10.983859933615435</v>
          </cell>
          <cell r="K31">
            <v>36.176784501439244</v>
          </cell>
          <cell r="L31">
            <v>28.106227226471461</v>
          </cell>
          <cell r="M31">
            <v>-8.0705572749677827</v>
          </cell>
          <cell r="N31">
            <v>8528</v>
          </cell>
          <cell r="O31">
            <v>7955</v>
          </cell>
          <cell r="P31">
            <v>-6.7190431519699843</v>
          </cell>
          <cell r="Q31">
            <v>4187</v>
          </cell>
          <cell r="R31">
            <v>4424</v>
          </cell>
          <cell r="S31">
            <v>5.6603773584905639</v>
          </cell>
          <cell r="T31">
            <v>50.902908067542214</v>
          </cell>
          <cell r="U31">
            <v>44.387177875549966</v>
          </cell>
          <cell r="V31">
            <v>-6.5157301919922475</v>
          </cell>
          <cell r="W31">
            <v>338442</v>
          </cell>
          <cell r="X31">
            <v>342251</v>
          </cell>
          <cell r="Y31">
            <v>1.1254513328724016</v>
          </cell>
        </row>
        <row r="32">
          <cell r="A32" t="str">
            <v>Soma(SE)</v>
          </cell>
          <cell r="B32">
            <v>105926</v>
          </cell>
          <cell r="C32">
            <v>106118</v>
          </cell>
          <cell r="D32">
            <v>0.18125861450445768</v>
          </cell>
          <cell r="E32">
            <v>98767</v>
          </cell>
          <cell r="F32">
            <v>98959</v>
          </cell>
          <cell r="G32">
            <v>0.19439691394900649</v>
          </cell>
          <cell r="H32">
            <v>66164</v>
          </cell>
          <cell r="I32">
            <v>71907</v>
          </cell>
          <cell r="J32">
            <v>8.6799467988634404</v>
          </cell>
          <cell r="K32">
            <v>33.010013466036227</v>
          </cell>
          <cell r="L32">
            <v>27.336573732555905</v>
          </cell>
          <cell r="M32">
            <v>-5.6734397334803219</v>
          </cell>
          <cell r="N32">
            <v>13570</v>
          </cell>
          <cell r="O32">
            <v>13005</v>
          </cell>
          <cell r="P32">
            <v>-4.1635961680176905</v>
          </cell>
          <cell r="Q32">
            <v>7052</v>
          </cell>
          <cell r="R32">
            <v>7389</v>
          </cell>
          <cell r="S32">
            <v>4.7787861599546204</v>
          </cell>
          <cell r="T32">
            <v>48.032424465733236</v>
          </cell>
          <cell r="U32">
            <v>43.183391003460201</v>
          </cell>
          <cell r="V32">
            <v>-4.8490334622730344</v>
          </cell>
          <cell r="W32">
            <v>456243</v>
          </cell>
          <cell r="X32">
            <v>467122</v>
          </cell>
          <cell r="Y32">
            <v>2.3844749398894862</v>
          </cell>
        </row>
        <row r="33">
          <cell r="A33" t="str">
            <v>PR</v>
          </cell>
          <cell r="B33">
            <v>13614</v>
          </cell>
          <cell r="C33">
            <v>14079</v>
          </cell>
          <cell r="D33">
            <v>3.4156015866020368</v>
          </cell>
          <cell r="E33">
            <v>13296</v>
          </cell>
          <cell r="F33">
            <v>13761</v>
          </cell>
          <cell r="G33">
            <v>3.4972924187725738</v>
          </cell>
          <cell r="H33">
            <v>9704</v>
          </cell>
          <cell r="I33">
            <v>10300</v>
          </cell>
          <cell r="J33">
            <v>6.1417971970321616</v>
          </cell>
          <cell r="K33">
            <v>27.015643802647418</v>
          </cell>
          <cell r="L33">
            <v>25.150788460140987</v>
          </cell>
          <cell r="M33">
            <v>-1.8648553425064307</v>
          </cell>
          <cell r="N33">
            <v>2799</v>
          </cell>
          <cell r="O33">
            <v>2799</v>
          </cell>
          <cell r="P33">
            <v>0</v>
          </cell>
          <cell r="Q33">
            <v>1248</v>
          </cell>
          <cell r="R33">
            <v>1500</v>
          </cell>
          <cell r="S33">
            <v>20.192307692307693</v>
          </cell>
          <cell r="T33">
            <v>55.412647374062161</v>
          </cell>
          <cell r="U33">
            <v>46.40943193997856</v>
          </cell>
          <cell r="V33">
            <v>-9.0032154340836001</v>
          </cell>
          <cell r="W33">
            <v>75157</v>
          </cell>
          <cell r="X33">
            <v>78904</v>
          </cell>
          <cell r="Y33">
            <v>4.9855635536277418</v>
          </cell>
        </row>
        <row r="34">
          <cell r="A34" t="str">
            <v>RS</v>
          </cell>
          <cell r="B34">
            <v>17151</v>
          </cell>
          <cell r="C34">
            <v>17463</v>
          </cell>
          <cell r="D34">
            <v>1.8191359104425402</v>
          </cell>
          <cell r="E34">
            <v>16565</v>
          </cell>
          <cell r="F34">
            <v>16877</v>
          </cell>
          <cell r="G34">
            <v>1.8834892846362834</v>
          </cell>
          <cell r="H34">
            <v>11830</v>
          </cell>
          <cell r="I34">
            <v>12750</v>
          </cell>
          <cell r="J34">
            <v>7.7768385460693139</v>
          </cell>
          <cell r="K34">
            <v>28.584364624207666</v>
          </cell>
          <cell r="L34">
            <v>24.453398115778867</v>
          </cell>
          <cell r="M34">
            <v>-4.1309665084287985</v>
          </cell>
          <cell r="N34">
            <v>2718</v>
          </cell>
          <cell r="O34">
            <v>2828</v>
          </cell>
          <cell r="P34">
            <v>4.0470934510669565</v>
          </cell>
          <cell r="Q34">
            <v>1434</v>
          </cell>
          <cell r="R34">
            <v>1556</v>
          </cell>
          <cell r="S34">
            <v>8.5076708507670844</v>
          </cell>
          <cell r="T34">
            <v>47.240618101545252</v>
          </cell>
          <cell r="U34">
            <v>44.97878359264498</v>
          </cell>
          <cell r="V34">
            <v>-2.2618345089002716</v>
          </cell>
          <cell r="W34">
            <v>89135</v>
          </cell>
          <cell r="X34">
            <v>93772</v>
          </cell>
          <cell r="Y34">
            <v>5.2022213496381937</v>
          </cell>
        </row>
        <row r="35">
          <cell r="A35" t="str">
            <v>SC</v>
          </cell>
          <cell r="B35">
            <v>10944</v>
          </cell>
          <cell r="C35">
            <v>11363</v>
          </cell>
          <cell r="D35">
            <v>3.8285818713450226</v>
          </cell>
          <cell r="E35">
            <v>10724</v>
          </cell>
          <cell r="F35">
            <v>11143</v>
          </cell>
          <cell r="G35">
            <v>3.9071242073853085</v>
          </cell>
          <cell r="H35">
            <v>8178</v>
          </cell>
          <cell r="I35">
            <v>8610</v>
          </cell>
          <cell r="J35">
            <v>5.2824651504035103</v>
          </cell>
          <cell r="K35">
            <v>23.74114136516225</v>
          </cell>
          <cell r="L35">
            <v>22.731759849232702</v>
          </cell>
          <cell r="M35">
            <v>-1.0093815159295474</v>
          </cell>
          <cell r="N35">
            <v>1732</v>
          </cell>
          <cell r="O35">
            <v>1841</v>
          </cell>
          <cell r="P35">
            <v>6.2933025404157092</v>
          </cell>
          <cell r="Q35">
            <v>943</v>
          </cell>
          <cell r="R35">
            <v>988</v>
          </cell>
          <cell r="S35">
            <v>4.7720042417815449</v>
          </cell>
          <cell r="T35">
            <v>45.554272517321017</v>
          </cell>
          <cell r="U35">
            <v>46.333514394350892</v>
          </cell>
          <cell r="V35">
            <v>0.77924187702987524</v>
          </cell>
          <cell r="W35">
            <v>58754</v>
          </cell>
          <cell r="X35">
            <v>60199</v>
          </cell>
          <cell r="Y35">
            <v>2.4594070190965738</v>
          </cell>
        </row>
        <row r="36">
          <cell r="A36" t="str">
            <v>Soma(S)</v>
          </cell>
          <cell r="B36">
            <v>41709</v>
          </cell>
          <cell r="C36">
            <v>42905</v>
          </cell>
          <cell r="D36">
            <v>2.8674866335802704</v>
          </cell>
          <cell r="E36">
            <v>40585</v>
          </cell>
          <cell r="F36">
            <v>41781</v>
          </cell>
          <cell r="G36">
            <v>2.9469015646174768</v>
          </cell>
          <cell r="H36">
            <v>29712</v>
          </cell>
          <cell r="I36">
            <v>31660</v>
          </cell>
          <cell r="J36">
            <v>6.5562735595045609</v>
          </cell>
          <cell r="K36">
            <v>26.790686214118523</v>
          </cell>
          <cell r="L36">
            <v>24.223929537349505</v>
          </cell>
          <cell r="M36">
            <v>-2.5667566767690175</v>
          </cell>
          <cell r="N36">
            <v>7249</v>
          </cell>
          <cell r="O36">
            <v>7468</v>
          </cell>
          <cell r="P36">
            <v>3.021106359497864</v>
          </cell>
          <cell r="Q36">
            <v>3625</v>
          </cell>
          <cell r="R36">
            <v>4044</v>
          </cell>
          <cell r="S36">
            <v>11.558620689655157</v>
          </cell>
          <cell r="T36">
            <v>49.993102496896128</v>
          </cell>
          <cell r="U36">
            <v>45.848955543652913</v>
          </cell>
          <cell r="V36">
            <v>-4.1441469532432151</v>
          </cell>
          <cell r="W36">
            <v>223046</v>
          </cell>
          <cell r="X36">
            <v>232875</v>
          </cell>
          <cell r="Y36">
            <v>4.4067143100526351</v>
          </cell>
        </row>
        <row r="37">
          <cell r="A37" t="str">
            <v xml:space="preserve">TOTAL </v>
          </cell>
          <cell r="B37">
            <v>202491</v>
          </cell>
          <cell r="C37">
            <v>205822</v>
          </cell>
          <cell r="D37">
            <v>1.6450113832219699</v>
          </cell>
          <cell r="E37">
            <v>191968</v>
          </cell>
          <cell r="F37">
            <v>195299</v>
          </cell>
          <cell r="G37">
            <v>1.7351850308384655</v>
          </cell>
          <cell r="H37">
            <v>131281</v>
          </cell>
          <cell r="I37">
            <v>141540</v>
          </cell>
          <cell r="J37">
            <v>7.8145352335829301</v>
          </cell>
          <cell r="K37">
            <v>31.61308134689115</v>
          </cell>
          <cell r="L37">
            <v>27.526510632414912</v>
          </cell>
          <cell r="M37">
            <v>-4.0865707144762382</v>
          </cell>
          <cell r="N37">
            <v>28545</v>
          </cell>
          <cell r="O37">
            <v>28484</v>
          </cell>
          <cell r="P37">
            <v>-0.21369767034506992</v>
          </cell>
          <cell r="Q37">
            <v>14135</v>
          </cell>
          <cell r="R37">
            <v>14978</v>
          </cell>
          <cell r="S37">
            <v>5.9639193491333629</v>
          </cell>
          <cell r="T37">
            <v>50.481695568400767</v>
          </cell>
          <cell r="U37">
            <v>47.416093245330714</v>
          </cell>
          <cell r="V37">
            <v>-3.0656023230700526</v>
          </cell>
          <cell r="W37">
            <v>897638</v>
          </cell>
          <cell r="X37">
            <v>930349</v>
          </cell>
          <cell r="Y37">
            <v>3.6441193443236557</v>
          </cell>
        </row>
      </sheetData>
      <sheetData sheetId="9"/>
      <sheetData sheetId="10">
        <row r="6">
          <cell r="AW6" t="str">
            <v>AC</v>
          </cell>
          <cell r="AX6">
            <v>162940.26</v>
          </cell>
          <cell r="AY6">
            <v>70892.479999999996</v>
          </cell>
          <cell r="AZ6">
            <v>16828.810000000001</v>
          </cell>
          <cell r="BA6">
            <v>62855.1</v>
          </cell>
          <cell r="BB6">
            <v>11851.49</v>
          </cell>
          <cell r="BC6">
            <v>133747.57999999999</v>
          </cell>
          <cell r="BD6">
            <v>28680.300000000003</v>
          </cell>
          <cell r="BE6">
            <v>162427.88</v>
          </cell>
          <cell r="BF6">
            <v>-512.38000000000466</v>
          </cell>
          <cell r="BG6">
            <v>-0.31445880840008766</v>
          </cell>
          <cell r="BH6">
            <v>29737.040000000001</v>
          </cell>
          <cell r="BI6">
            <v>6393.9</v>
          </cell>
          <cell r="BJ6">
            <v>2778.26</v>
          </cell>
          <cell r="BK6">
            <v>17590.3</v>
          </cell>
          <cell r="BL6">
            <v>4831.0200000000004</v>
          </cell>
          <cell r="BM6">
            <v>23984.199999999997</v>
          </cell>
          <cell r="BN6">
            <v>7609.2800000000007</v>
          </cell>
          <cell r="BO6">
            <v>31593.479999999996</v>
          </cell>
          <cell r="BP6">
            <v>1856.4399999999951</v>
          </cell>
          <cell r="BQ6">
            <v>6.2428540298563515</v>
          </cell>
          <cell r="BR6">
            <v>193920</v>
          </cell>
          <cell r="BS6">
            <v>78339.740000000005</v>
          </cell>
          <cell r="BT6">
            <v>127825.42</v>
          </cell>
          <cell r="BU6">
            <v>206165.16</v>
          </cell>
          <cell r="BV6">
            <v>12245.160000000003</v>
          </cell>
          <cell r="BW6">
            <v>6.3145420792079232</v>
          </cell>
          <cell r="BX6">
            <v>17396.88</v>
          </cell>
          <cell r="BY6">
            <v>6881.22</v>
          </cell>
          <cell r="BZ6">
            <v>10891.24</v>
          </cell>
          <cell r="CA6">
            <v>17772.46</v>
          </cell>
          <cell r="CB6">
            <v>375.57999999999811</v>
          </cell>
          <cell r="CC6">
            <v>2.1588928589494101</v>
          </cell>
          <cell r="CD6">
            <v>403994.18000000005</v>
          </cell>
          <cell r="CE6">
            <v>162507.34</v>
          </cell>
          <cell r="CF6">
            <v>19607.07</v>
          </cell>
          <cell r="CG6">
            <v>219162.06</v>
          </cell>
          <cell r="CH6">
            <v>16682.510000000002</v>
          </cell>
          <cell r="CI6">
            <v>381669.4</v>
          </cell>
          <cell r="CJ6">
            <v>0.86877041930479493</v>
          </cell>
          <cell r="CK6">
            <v>36289.58</v>
          </cell>
          <cell r="CL6">
            <v>41.689442406167586</v>
          </cell>
          <cell r="CM6">
            <v>417958.98000000004</v>
          </cell>
        </row>
        <row r="7">
          <cell r="AW7" t="str">
            <v>AM</v>
          </cell>
          <cell r="AX7">
            <v>549158.89</v>
          </cell>
          <cell r="AY7">
            <v>251650.18</v>
          </cell>
          <cell r="AZ7">
            <v>85638.63</v>
          </cell>
          <cell r="BA7">
            <v>165251.78</v>
          </cell>
          <cell r="BB7">
            <v>35499.58</v>
          </cell>
          <cell r="BC7">
            <v>416901.95999999996</v>
          </cell>
          <cell r="BD7">
            <v>121138.21</v>
          </cell>
          <cell r="BE7">
            <v>538040.16999999993</v>
          </cell>
          <cell r="BF7">
            <v>-11118.720000000088</v>
          </cell>
          <cell r="BG7">
            <v>-2.0246817819884675</v>
          </cell>
          <cell r="BH7">
            <v>54104.84</v>
          </cell>
          <cell r="BI7">
            <v>12585.22</v>
          </cell>
          <cell r="BJ7">
            <v>5861.34</v>
          </cell>
          <cell r="BK7">
            <v>23676.97</v>
          </cell>
          <cell r="BL7">
            <v>15643.38</v>
          </cell>
          <cell r="BM7">
            <v>36262.19</v>
          </cell>
          <cell r="BN7">
            <v>21504.720000000001</v>
          </cell>
          <cell r="BO7">
            <v>57766.91</v>
          </cell>
          <cell r="BP7">
            <v>3662.070000000007</v>
          </cell>
          <cell r="BQ7">
            <v>6.7684702514599575</v>
          </cell>
          <cell r="BR7">
            <v>456480</v>
          </cell>
          <cell r="BS7">
            <v>188416.29</v>
          </cell>
          <cell r="BT7">
            <v>281508.63</v>
          </cell>
          <cell r="BU7">
            <v>469924.92000000004</v>
          </cell>
          <cell r="BV7">
            <v>13444.920000000042</v>
          </cell>
          <cell r="BW7">
            <v>2.9453470031545836</v>
          </cell>
          <cell r="BX7">
            <v>47688.46</v>
          </cell>
          <cell r="BY7">
            <v>32616.04</v>
          </cell>
          <cell r="BZ7">
            <v>23521.87</v>
          </cell>
          <cell r="CA7">
            <v>56137.91</v>
          </cell>
          <cell r="CB7">
            <v>8449.4500000000044</v>
          </cell>
          <cell r="CC7">
            <v>17.71801815365815</v>
          </cell>
          <cell r="CD7">
            <v>1107432.19</v>
          </cell>
          <cell r="CE7">
            <v>485267.72999999992</v>
          </cell>
          <cell r="CF7">
            <v>91499.97</v>
          </cell>
          <cell r="CG7">
            <v>493959.25</v>
          </cell>
          <cell r="CH7">
            <v>51142.96</v>
          </cell>
          <cell r="CI7">
            <v>979226.98</v>
          </cell>
          <cell r="CJ7">
            <v>-0.56798486491462086</v>
          </cell>
          <cell r="CK7">
            <v>142642.93</v>
          </cell>
          <cell r="CL7">
            <v>16.337242654005664</v>
          </cell>
          <cell r="CM7">
            <v>1121869.9099999999</v>
          </cell>
        </row>
        <row r="8">
          <cell r="AW8" t="str">
            <v>AP</v>
          </cell>
          <cell r="AX8">
            <v>185204.19</v>
          </cell>
          <cell r="AY8">
            <v>89271.41</v>
          </cell>
          <cell r="AZ8">
            <v>29923.43</v>
          </cell>
          <cell r="BA8">
            <v>60340.9</v>
          </cell>
          <cell r="BB8">
            <v>10948.3</v>
          </cell>
          <cell r="BC8">
            <v>149612.31</v>
          </cell>
          <cell r="BD8">
            <v>40871.729999999996</v>
          </cell>
          <cell r="BE8">
            <v>190484.03999999998</v>
          </cell>
          <cell r="BF8">
            <v>5279.8499999999767</v>
          </cell>
          <cell r="BG8">
            <v>2.8508264310866704</v>
          </cell>
          <cell r="BH8">
            <v>40897.33</v>
          </cell>
          <cell r="BI8">
            <v>10354.58</v>
          </cell>
          <cell r="BJ8">
            <v>6331.31</v>
          </cell>
          <cell r="BK8">
            <v>14799.52</v>
          </cell>
          <cell r="BL8">
            <v>16094.86</v>
          </cell>
          <cell r="BM8">
            <v>25154.1</v>
          </cell>
          <cell r="BN8">
            <v>22426.170000000002</v>
          </cell>
          <cell r="BO8">
            <v>47580.270000000004</v>
          </cell>
          <cell r="BP8">
            <v>6682.9400000000023</v>
          </cell>
          <cell r="BQ8">
            <v>16.340773346328483</v>
          </cell>
          <cell r="BR8">
            <v>245520</v>
          </cell>
          <cell r="BS8">
            <v>103615.46</v>
          </cell>
          <cell r="BT8">
            <v>156069.57999999999</v>
          </cell>
          <cell r="BU8">
            <v>259685.03999999998</v>
          </cell>
          <cell r="BV8">
            <v>14165.039999999979</v>
          </cell>
          <cell r="BW8">
            <v>5.7694037145649961</v>
          </cell>
          <cell r="BX8">
            <v>21222.97</v>
          </cell>
          <cell r="BY8">
            <v>10188.700000000001</v>
          </cell>
          <cell r="BZ8">
            <v>11560.5</v>
          </cell>
          <cell r="CA8">
            <v>21749.200000000001</v>
          </cell>
          <cell r="CB8">
            <v>526.22999999999956</v>
          </cell>
          <cell r="CC8">
            <v>2.4795304332993902</v>
          </cell>
          <cell r="CD8">
            <v>492844.49</v>
          </cell>
          <cell r="CE8">
            <v>213430.15000000002</v>
          </cell>
          <cell r="CF8">
            <v>36254.74</v>
          </cell>
          <cell r="CG8">
            <v>242770.5</v>
          </cell>
          <cell r="CH8">
            <v>27043.16</v>
          </cell>
          <cell r="CI8">
            <v>456200.65</v>
          </cell>
          <cell r="CJ8">
            <v>2.6382742150302505</v>
          </cell>
          <cell r="CK8">
            <v>63297.899999999994</v>
          </cell>
          <cell r="CL8">
            <v>30.861105336217094</v>
          </cell>
          <cell r="CM8">
            <v>519498.55000000005</v>
          </cell>
        </row>
        <row r="9">
          <cell r="AW9" t="str">
            <v>PA</v>
          </cell>
          <cell r="AX9">
            <v>766764.86</v>
          </cell>
          <cell r="AY9">
            <v>372225.8</v>
          </cell>
          <cell r="AZ9">
            <v>133393.62</v>
          </cell>
          <cell r="BA9">
            <v>124110.26</v>
          </cell>
          <cell r="BB9">
            <v>155424.76</v>
          </cell>
          <cell r="BC9">
            <v>496336.06</v>
          </cell>
          <cell r="BD9">
            <v>288818.38</v>
          </cell>
          <cell r="BE9">
            <v>785154.44</v>
          </cell>
          <cell r="BF9">
            <v>18389.579999999958</v>
          </cell>
          <cell r="BG9">
            <v>2.3983336951565515</v>
          </cell>
          <cell r="BH9">
            <v>70024.34</v>
          </cell>
          <cell r="BI9">
            <v>15356.95</v>
          </cell>
          <cell r="BJ9">
            <v>9759.2999999999993</v>
          </cell>
          <cell r="BK9">
            <v>28444.78</v>
          </cell>
          <cell r="BL9">
            <v>21166.26</v>
          </cell>
          <cell r="BM9">
            <v>43801.729999999996</v>
          </cell>
          <cell r="BN9">
            <v>30925.559999999998</v>
          </cell>
          <cell r="BO9">
            <v>74727.289999999994</v>
          </cell>
          <cell r="BP9">
            <v>4702.9499999999971</v>
          </cell>
          <cell r="BQ9">
            <v>6.7161646935908248</v>
          </cell>
          <cell r="BR9">
            <v>611920</v>
          </cell>
          <cell r="BS9">
            <v>296928.5</v>
          </cell>
          <cell r="BT9">
            <v>333869.5</v>
          </cell>
          <cell r="BU9">
            <v>630798</v>
          </cell>
          <cell r="BV9">
            <v>18878</v>
          </cell>
          <cell r="BW9">
            <v>3.0850437965747157</v>
          </cell>
          <cell r="BX9">
            <v>65191.91</v>
          </cell>
          <cell r="BY9">
            <v>45749.34</v>
          </cell>
          <cell r="BZ9">
            <v>21889.1</v>
          </cell>
          <cell r="CA9">
            <v>67638.44</v>
          </cell>
          <cell r="CB9">
            <v>2446.5299999999988</v>
          </cell>
          <cell r="CC9">
            <v>3.7528122737928662</v>
          </cell>
          <cell r="CD9">
            <v>1513901.1099999999</v>
          </cell>
          <cell r="CE9">
            <v>730260.59</v>
          </cell>
          <cell r="CF9">
            <v>143152.91999999998</v>
          </cell>
          <cell r="CG9">
            <v>508313.63999999996</v>
          </cell>
          <cell r="CH9">
            <v>176591.02000000002</v>
          </cell>
          <cell r="CI9">
            <v>1238574.23</v>
          </cell>
          <cell r="CJ9">
            <v>-1.3990839123634373</v>
          </cell>
          <cell r="CK9">
            <v>319743.94</v>
          </cell>
          <cell r="CL9">
            <v>24.050864710823006</v>
          </cell>
          <cell r="CM9">
            <v>1558318.17</v>
          </cell>
        </row>
        <row r="10">
          <cell r="AW10" t="str">
            <v>RO</v>
          </cell>
          <cell r="AX10">
            <v>351325.39</v>
          </cell>
          <cell r="AY10">
            <v>175702.31</v>
          </cell>
          <cell r="AZ10">
            <v>48202.04</v>
          </cell>
          <cell r="BA10">
            <v>121824.62</v>
          </cell>
          <cell r="BB10">
            <v>2590.0700000000002</v>
          </cell>
          <cell r="BC10">
            <v>297526.93</v>
          </cell>
          <cell r="BD10">
            <v>50792.11</v>
          </cell>
          <cell r="BE10">
            <v>348319.04</v>
          </cell>
          <cell r="BF10">
            <v>-3006.3500000000349</v>
          </cell>
          <cell r="BG10">
            <v>-0.85571669044472842</v>
          </cell>
          <cell r="BH10">
            <v>47373.47</v>
          </cell>
          <cell r="BI10">
            <v>8718.9</v>
          </cell>
          <cell r="BJ10">
            <v>5323.11</v>
          </cell>
          <cell r="BK10">
            <v>30289.3</v>
          </cell>
          <cell r="BL10">
            <v>9261.14</v>
          </cell>
          <cell r="BM10">
            <v>39008.199999999997</v>
          </cell>
          <cell r="BN10">
            <v>14584.25</v>
          </cell>
          <cell r="BO10">
            <v>53592.45</v>
          </cell>
          <cell r="BP10">
            <v>6218.9799999999959</v>
          </cell>
          <cell r="BQ10">
            <v>13.127558525900671</v>
          </cell>
          <cell r="BR10">
            <v>822160</v>
          </cell>
          <cell r="BS10">
            <v>281192.64</v>
          </cell>
          <cell r="BT10">
            <v>543781.43999999994</v>
          </cell>
          <cell r="BU10">
            <v>824974.08</v>
          </cell>
          <cell r="BV10">
            <v>2814.0799999999581</v>
          </cell>
          <cell r="BW10">
            <v>0.34227887515811495</v>
          </cell>
          <cell r="BX10">
            <v>54938.65</v>
          </cell>
          <cell r="BY10">
            <v>16772.39</v>
          </cell>
          <cell r="BZ10">
            <v>31315.29</v>
          </cell>
          <cell r="CA10">
            <v>48087.68</v>
          </cell>
          <cell r="CB10">
            <v>-6850.9700000000012</v>
          </cell>
          <cell r="CC10">
            <v>-12.470219053435061</v>
          </cell>
          <cell r="CD10">
            <v>1275797.5099999998</v>
          </cell>
          <cell r="CE10">
            <v>482386.24</v>
          </cell>
          <cell r="CF10">
            <v>53525.15</v>
          </cell>
          <cell r="CG10">
            <v>727210.64999999991</v>
          </cell>
          <cell r="CH10">
            <v>11851.21</v>
          </cell>
          <cell r="CI10">
            <v>1209596.8899999999</v>
          </cell>
          <cell r="CJ10">
            <v>-1.6126291082152306</v>
          </cell>
          <cell r="CK10">
            <v>65376.36</v>
          </cell>
          <cell r="CL10">
            <v>40.974564860786671</v>
          </cell>
          <cell r="CM10">
            <v>1274973.25</v>
          </cell>
        </row>
        <row r="11">
          <cell r="AW11" t="str">
            <v>RR</v>
          </cell>
          <cell r="AX11">
            <v>60015.99</v>
          </cell>
          <cell r="AY11">
            <v>32757.83</v>
          </cell>
          <cell r="AZ11">
            <v>8170.61</v>
          </cell>
          <cell r="BA11">
            <v>16228.05</v>
          </cell>
          <cell r="BB11">
            <v>2427.36</v>
          </cell>
          <cell r="BC11">
            <v>48985.880000000005</v>
          </cell>
          <cell r="BD11">
            <v>10597.97</v>
          </cell>
          <cell r="BE11">
            <v>59583.850000000006</v>
          </cell>
          <cell r="BF11">
            <v>-432.13999999999214</v>
          </cell>
          <cell r="BG11">
            <v>-0.72004144228895028</v>
          </cell>
          <cell r="BH11">
            <v>11021.04</v>
          </cell>
          <cell r="BI11">
            <v>3235.19</v>
          </cell>
          <cell r="BJ11">
            <v>114.86</v>
          </cell>
          <cell r="BK11">
            <v>4731.28</v>
          </cell>
          <cell r="BL11">
            <v>4319.7</v>
          </cell>
          <cell r="BM11">
            <v>7966.4699999999993</v>
          </cell>
          <cell r="BN11">
            <v>4434.5599999999995</v>
          </cell>
          <cell r="BO11">
            <v>12401.029999999999</v>
          </cell>
          <cell r="BP11">
            <v>1379.989999999998</v>
          </cell>
          <cell r="BQ11">
            <v>12.521413587102467</v>
          </cell>
          <cell r="BR11">
            <v>99520</v>
          </cell>
          <cell r="BS11">
            <v>42659.42</v>
          </cell>
          <cell r="BT11">
            <v>55917.46</v>
          </cell>
          <cell r="BU11">
            <v>98576.88</v>
          </cell>
          <cell r="BV11">
            <v>-943.11999999999534</v>
          </cell>
          <cell r="BW11">
            <v>-0.94766881028938432</v>
          </cell>
          <cell r="BX11">
            <v>5969.5</v>
          </cell>
          <cell r="BY11">
            <v>2755.65</v>
          </cell>
          <cell r="BZ11">
            <v>3075.07</v>
          </cell>
          <cell r="CA11">
            <v>5830.72</v>
          </cell>
          <cell r="CB11">
            <v>-138.77999999999975</v>
          </cell>
          <cell r="CC11">
            <v>-2.324817823938349</v>
          </cell>
          <cell r="CD11">
            <v>176526.53</v>
          </cell>
          <cell r="CE11">
            <v>81408.09</v>
          </cell>
          <cell r="CF11">
            <v>8285.4699999999993</v>
          </cell>
          <cell r="CG11">
            <v>79951.86</v>
          </cell>
          <cell r="CH11">
            <v>6747.0599999999995</v>
          </cell>
          <cell r="CI11">
            <v>161359.95000000001</v>
          </cell>
          <cell r="CJ11">
            <v>-2.680057868954151</v>
          </cell>
          <cell r="CK11">
            <v>15032.529999999999</v>
          </cell>
          <cell r="CL11">
            <v>40.190201354999971</v>
          </cell>
          <cell r="CM11">
            <v>176392.48</v>
          </cell>
        </row>
        <row r="12">
          <cell r="AW12" t="str">
            <v>TO</v>
          </cell>
          <cell r="AX12">
            <v>251889.49</v>
          </cell>
          <cell r="AY12">
            <v>121707.78</v>
          </cell>
          <cell r="AZ12">
            <v>35562.76</v>
          </cell>
          <cell r="BA12">
            <v>62855.1</v>
          </cell>
          <cell r="BB12">
            <v>22359.5</v>
          </cell>
          <cell r="BC12">
            <v>184562.88</v>
          </cell>
          <cell r="BD12">
            <v>57922.26</v>
          </cell>
          <cell r="BE12">
            <v>242485.14</v>
          </cell>
          <cell r="BF12">
            <v>-9404.3499999999767</v>
          </cell>
          <cell r="BG12">
            <v>-3.7335221886391432</v>
          </cell>
          <cell r="BH12">
            <v>38034.089999999997</v>
          </cell>
          <cell r="BI12">
            <v>6673.78</v>
          </cell>
          <cell r="BJ12">
            <v>7329.74</v>
          </cell>
          <cell r="BK12">
            <v>21594.74</v>
          </cell>
          <cell r="BL12">
            <v>8188.29</v>
          </cell>
          <cell r="BM12">
            <v>28268.52</v>
          </cell>
          <cell r="BN12">
            <v>15518.029999999999</v>
          </cell>
          <cell r="BO12">
            <v>43786.55</v>
          </cell>
          <cell r="BP12">
            <v>5752.4600000000064</v>
          </cell>
          <cell r="BQ12">
            <v>15.124484377041773</v>
          </cell>
          <cell r="BR12">
            <v>424320</v>
          </cell>
          <cell r="BS12">
            <v>148580.9</v>
          </cell>
          <cell r="BT12">
            <v>276678.82</v>
          </cell>
          <cell r="BU12">
            <v>425259.72</v>
          </cell>
          <cell r="BV12">
            <v>939.71999999997206</v>
          </cell>
          <cell r="BW12">
            <v>0.22146493212669024</v>
          </cell>
          <cell r="BX12">
            <v>30790.959999999999</v>
          </cell>
          <cell r="BY12">
            <v>10526.12</v>
          </cell>
          <cell r="BZ12">
            <v>20341.78</v>
          </cell>
          <cell r="CA12">
            <v>30867.9</v>
          </cell>
          <cell r="CB12">
            <v>76.940000000002328</v>
          </cell>
          <cell r="CC12">
            <v>0.24987853577804112</v>
          </cell>
          <cell r="CD12">
            <v>745034.53999999992</v>
          </cell>
          <cell r="CE12">
            <v>287488.57999999996</v>
          </cell>
          <cell r="CF12">
            <v>42892.5</v>
          </cell>
          <cell r="CG12">
            <v>381470.44000000006</v>
          </cell>
          <cell r="CH12">
            <v>30547.79</v>
          </cell>
          <cell r="CI12">
            <v>668959.02</v>
          </cell>
          <cell r="CJ12">
            <v>-0.8843330436864818</v>
          </cell>
          <cell r="CK12">
            <v>73440.290000000008</v>
          </cell>
          <cell r="CL12">
            <v>4.7547037872671041</v>
          </cell>
          <cell r="CM12">
            <v>742399.31</v>
          </cell>
        </row>
        <row r="13">
          <cell r="AW13" t="str">
            <v>Soma (N)</v>
          </cell>
          <cell r="AX13">
            <v>2327299.0700000003</v>
          </cell>
          <cell r="AY13">
            <v>1114207.7899999998</v>
          </cell>
          <cell r="AZ13">
            <v>357719.89999999997</v>
          </cell>
          <cell r="BA13">
            <v>613465.81000000006</v>
          </cell>
          <cell r="BB13">
            <v>241101.06</v>
          </cell>
          <cell r="BC13">
            <v>1727673.5999999996</v>
          </cell>
          <cell r="BD13">
            <v>598820.96</v>
          </cell>
          <cell r="BE13">
            <v>2326494.56</v>
          </cell>
          <cell r="BF13">
            <v>-804.51000000016211</v>
          </cell>
          <cell r="BG13">
            <v>-3.4568397777951336E-2</v>
          </cell>
          <cell r="BH13">
            <v>291192.15000000002</v>
          </cell>
          <cell r="BI13">
            <v>63318.52</v>
          </cell>
          <cell r="BJ13">
            <v>37497.919999999998</v>
          </cell>
          <cell r="BK13">
            <v>141126.89000000001</v>
          </cell>
          <cell r="BL13">
            <v>79504.649999999994</v>
          </cell>
          <cell r="BM13">
            <v>204445.40999999997</v>
          </cell>
          <cell r="BN13">
            <v>117002.56999999999</v>
          </cell>
          <cell r="BO13">
            <v>321447.98000000004</v>
          </cell>
          <cell r="BP13">
            <v>30255.83</v>
          </cell>
          <cell r="BQ13">
            <v>10.390331607496973</v>
          </cell>
          <cell r="BR13">
            <v>2853840</v>
          </cell>
          <cell r="BS13">
            <v>1139732.95</v>
          </cell>
          <cell r="BT13">
            <v>1775650.8499999999</v>
          </cell>
          <cell r="BU13">
            <v>2915383.8</v>
          </cell>
          <cell r="BV13">
            <v>61543.799999999959</v>
          </cell>
          <cell r="BW13">
            <v>2.1565259439912521</v>
          </cell>
          <cell r="BX13">
            <v>243199.33</v>
          </cell>
          <cell r="BY13">
            <v>125489.45999999999</v>
          </cell>
          <cell r="BZ13">
            <v>122594.85</v>
          </cell>
          <cell r="CA13">
            <v>248084.31</v>
          </cell>
          <cell r="CB13">
            <v>4884.9800000000023</v>
          </cell>
          <cell r="CC13">
            <v>2.0086321783863479</v>
          </cell>
          <cell r="CD13">
            <v>5715530.5499999998</v>
          </cell>
          <cell r="CE13">
            <v>2442748.7200000002</v>
          </cell>
          <cell r="CF13">
            <v>395217.81999999995</v>
          </cell>
          <cell r="CG13">
            <v>2652838.3999999994</v>
          </cell>
          <cell r="CH13">
            <v>320605.71000000002</v>
          </cell>
          <cell r="CI13">
            <v>5095587.1199999992</v>
          </cell>
          <cell r="CJ13">
            <v>-0.74781672108927921</v>
          </cell>
          <cell r="CK13">
            <v>715823.53</v>
          </cell>
          <cell r="CL13">
            <v>23.08876568540876</v>
          </cell>
          <cell r="CM13">
            <v>5811410.6500000004</v>
          </cell>
        </row>
        <row r="14">
          <cell r="AW14" t="str">
            <v>AL</v>
          </cell>
          <cell r="AX14">
            <v>555562.16</v>
          </cell>
          <cell r="AY14">
            <v>340942.86</v>
          </cell>
          <cell r="AZ14">
            <v>119052.36</v>
          </cell>
          <cell r="BA14">
            <v>108567.9</v>
          </cell>
          <cell r="BB14">
            <v>15707.94</v>
          </cell>
          <cell r="BC14">
            <v>449510.76</v>
          </cell>
          <cell r="BD14">
            <v>134760.29999999999</v>
          </cell>
          <cell r="BE14">
            <v>584271.06000000006</v>
          </cell>
          <cell r="BF14">
            <v>28708.900000000023</v>
          </cell>
          <cell r="BG14">
            <v>5.1675405682777278</v>
          </cell>
          <cell r="BH14">
            <v>38569.26</v>
          </cell>
          <cell r="BI14">
            <v>9752.8700000000008</v>
          </cell>
          <cell r="BJ14">
            <v>5933.86</v>
          </cell>
          <cell r="BK14">
            <v>14920.66</v>
          </cell>
          <cell r="BL14">
            <v>13267.56</v>
          </cell>
          <cell r="BM14">
            <v>24673.53</v>
          </cell>
          <cell r="BN14">
            <v>19201.419999999998</v>
          </cell>
          <cell r="BO14">
            <v>43874.95</v>
          </cell>
          <cell r="BP14">
            <v>5305.6899999999951</v>
          </cell>
          <cell r="BQ14">
            <v>13.756266000436604</v>
          </cell>
          <cell r="BR14">
            <v>548000</v>
          </cell>
          <cell r="BS14">
            <v>265979.58</v>
          </cell>
          <cell r="BT14">
            <v>291160.02</v>
          </cell>
          <cell r="BU14">
            <v>557139.60000000009</v>
          </cell>
          <cell r="BV14">
            <v>9139.6000000000931</v>
          </cell>
          <cell r="BW14">
            <v>1.667810218978119</v>
          </cell>
          <cell r="BX14">
            <v>51395.91</v>
          </cell>
          <cell r="BY14">
            <v>38738.19</v>
          </cell>
          <cell r="BZ14">
            <v>26913.53</v>
          </cell>
          <cell r="CA14">
            <v>65651.72</v>
          </cell>
          <cell r="CB14">
            <v>14255.809999999998</v>
          </cell>
          <cell r="CC14">
            <v>27.737246018214286</v>
          </cell>
          <cell r="CD14">
            <v>1193527.3299999998</v>
          </cell>
          <cell r="CE14">
            <v>655413.5</v>
          </cell>
          <cell r="CF14">
            <v>124986.22</v>
          </cell>
          <cell r="CG14">
            <v>441562.11</v>
          </cell>
          <cell r="CH14">
            <v>28975.5</v>
          </cell>
          <cell r="CI14">
            <v>1096975.6099999999</v>
          </cell>
          <cell r="CJ14">
            <v>2.1004074851727239</v>
          </cell>
          <cell r="CK14">
            <v>153961.72</v>
          </cell>
          <cell r="CL14">
            <v>29.250702190501244</v>
          </cell>
          <cell r="CM14">
            <v>1250937.3299999998</v>
          </cell>
        </row>
        <row r="15">
          <cell r="AW15" t="str">
            <v>BA</v>
          </cell>
          <cell r="AX15">
            <v>1516855.05</v>
          </cell>
          <cell r="AY15">
            <v>983030</v>
          </cell>
          <cell r="AZ15">
            <v>230068.39</v>
          </cell>
          <cell r="BA15">
            <v>325932.26</v>
          </cell>
          <cell r="BB15">
            <v>64830.01</v>
          </cell>
          <cell r="BC15">
            <v>1308962.26</v>
          </cell>
          <cell r="BD15">
            <v>294898.40000000002</v>
          </cell>
          <cell r="BE15">
            <v>1603860.6600000001</v>
          </cell>
          <cell r="BF15">
            <v>87005.610000000102</v>
          </cell>
          <cell r="BG15">
            <v>5.735921174538074</v>
          </cell>
          <cell r="BH15">
            <v>241604.45</v>
          </cell>
          <cell r="BI15">
            <v>36234.9</v>
          </cell>
          <cell r="BJ15">
            <v>24045.29</v>
          </cell>
          <cell r="BK15">
            <v>143855.91</v>
          </cell>
          <cell r="BL15">
            <v>56889.74</v>
          </cell>
          <cell r="BM15">
            <v>180090.81</v>
          </cell>
          <cell r="BN15">
            <v>80935.03</v>
          </cell>
          <cell r="BO15">
            <v>261025.84</v>
          </cell>
          <cell r="BP15">
            <v>19421.389999999985</v>
          </cell>
          <cell r="BQ15">
            <v>8.0385067410803011</v>
          </cell>
          <cell r="BR15">
            <v>1369680</v>
          </cell>
          <cell r="BS15">
            <v>674199.05</v>
          </cell>
          <cell r="BT15">
            <v>727739.71</v>
          </cell>
          <cell r="BU15">
            <v>1401938.76</v>
          </cell>
          <cell r="BV15">
            <v>32258.760000000009</v>
          </cell>
          <cell r="BW15">
            <v>2.3552041352724729</v>
          </cell>
          <cell r="BX15">
            <v>140766.28</v>
          </cell>
          <cell r="BY15">
            <v>86026.02</v>
          </cell>
          <cell r="BZ15">
            <v>60226.75</v>
          </cell>
          <cell r="CA15">
            <v>146252.77000000002</v>
          </cell>
          <cell r="CB15">
            <v>5486.4900000000198</v>
          </cell>
          <cell r="CC15">
            <v>3.8975882576423979</v>
          </cell>
          <cell r="CD15">
            <v>3268905.78</v>
          </cell>
          <cell r="CE15">
            <v>1779489.9700000002</v>
          </cell>
          <cell r="CF15">
            <v>254113.68000000002</v>
          </cell>
          <cell r="CG15">
            <v>1257754.6299999999</v>
          </cell>
          <cell r="CH15">
            <v>121719.75</v>
          </cell>
          <cell r="CI15">
            <v>3037244.6</v>
          </cell>
          <cell r="CJ15">
            <v>2.1101557215228866</v>
          </cell>
          <cell r="CK15">
            <v>375833.43000000005</v>
          </cell>
          <cell r="CL15">
            <v>27.648977971090787</v>
          </cell>
          <cell r="CM15">
            <v>3413078.0300000003</v>
          </cell>
        </row>
        <row r="16">
          <cell r="AW16" t="str">
            <v>CE</v>
          </cell>
          <cell r="AX16">
            <v>859543.46</v>
          </cell>
          <cell r="AY16">
            <v>651770.79</v>
          </cell>
          <cell r="AZ16">
            <v>112823.58</v>
          </cell>
          <cell r="BA16">
            <v>168223.1</v>
          </cell>
          <cell r="BB16">
            <v>55802.96</v>
          </cell>
          <cell r="BC16">
            <v>819993.89</v>
          </cell>
          <cell r="BD16">
            <v>168626.54</v>
          </cell>
          <cell r="BE16">
            <v>988620.43</v>
          </cell>
          <cell r="BF16">
            <v>129076.97000000009</v>
          </cell>
          <cell r="BG16">
            <v>15.016921890139226</v>
          </cell>
          <cell r="BH16">
            <v>102726.1</v>
          </cell>
          <cell r="BI16">
            <v>21533.15</v>
          </cell>
          <cell r="BJ16">
            <v>11106.68</v>
          </cell>
          <cell r="BK16">
            <v>59531.8</v>
          </cell>
          <cell r="BL16">
            <v>17970.060000000001</v>
          </cell>
          <cell r="BM16">
            <v>81064.950000000012</v>
          </cell>
          <cell r="BN16">
            <v>29076.74</v>
          </cell>
          <cell r="BO16">
            <v>110141.69000000002</v>
          </cell>
          <cell r="BP16">
            <v>7415.5900000000111</v>
          </cell>
          <cell r="BQ16">
            <v>7.2187983384943175</v>
          </cell>
          <cell r="BR16">
            <v>861360</v>
          </cell>
          <cell r="BS16">
            <v>398191.38</v>
          </cell>
          <cell r="BT16">
            <v>511724.94</v>
          </cell>
          <cell r="BU16">
            <v>909916.32000000007</v>
          </cell>
          <cell r="BV16">
            <v>48556.320000000065</v>
          </cell>
          <cell r="BW16">
            <v>5.6371691278907852</v>
          </cell>
          <cell r="BX16">
            <v>81868.47</v>
          </cell>
          <cell r="BY16">
            <v>51247.21</v>
          </cell>
          <cell r="BZ16">
            <v>33244.04</v>
          </cell>
          <cell r="CA16">
            <v>84491.25</v>
          </cell>
          <cell r="CB16">
            <v>2622.7799999999988</v>
          </cell>
          <cell r="CC16">
            <v>3.2036509293504554</v>
          </cell>
          <cell r="CD16">
            <v>1905498.03</v>
          </cell>
          <cell r="CE16">
            <v>1122742.53</v>
          </cell>
          <cell r="CF16">
            <v>123930.26000000001</v>
          </cell>
          <cell r="CG16">
            <v>772723.88000000012</v>
          </cell>
          <cell r="CH16">
            <v>73773.02</v>
          </cell>
          <cell r="CI16">
            <v>1895466.4100000001</v>
          </cell>
          <cell r="CJ16">
            <v>7.8719168390819334</v>
          </cell>
          <cell r="CK16">
            <v>197703.28000000003</v>
          </cell>
          <cell r="CL16">
            <v>33.265757413376264</v>
          </cell>
          <cell r="CM16">
            <v>2093169.6900000002</v>
          </cell>
        </row>
        <row r="17">
          <cell r="AW17" t="str">
            <v>MA</v>
          </cell>
          <cell r="AX17">
            <v>476275.79</v>
          </cell>
          <cell r="AY17">
            <v>252198.02</v>
          </cell>
          <cell r="AZ17">
            <v>74425.600000000006</v>
          </cell>
          <cell r="BA17">
            <v>137824.1</v>
          </cell>
          <cell r="BB17">
            <v>29937.54</v>
          </cell>
          <cell r="BC17">
            <v>390022.12</v>
          </cell>
          <cell r="BD17">
            <v>104363.14000000001</v>
          </cell>
          <cell r="BE17">
            <v>494385.26</v>
          </cell>
          <cell r="BF17">
            <v>18109.47000000003</v>
          </cell>
          <cell r="BG17">
            <v>3.8023074823937684</v>
          </cell>
          <cell r="BH17">
            <v>46663.55</v>
          </cell>
          <cell r="BI17">
            <v>12174.37</v>
          </cell>
          <cell r="BJ17">
            <v>6792.82</v>
          </cell>
          <cell r="BK17">
            <v>26444.86</v>
          </cell>
          <cell r="BL17">
            <v>30768.46</v>
          </cell>
          <cell r="BM17">
            <v>38619.230000000003</v>
          </cell>
          <cell r="BN17">
            <v>37561.279999999999</v>
          </cell>
          <cell r="BO17">
            <v>76180.510000000009</v>
          </cell>
          <cell r="BP17">
            <v>29516.960000000006</v>
          </cell>
          <cell r="BQ17">
            <v>63.254853091974361</v>
          </cell>
          <cell r="BR17">
            <v>391840</v>
          </cell>
          <cell r="BS17">
            <v>201458.99</v>
          </cell>
          <cell r="BT17">
            <v>216826.69</v>
          </cell>
          <cell r="BU17">
            <v>418285.68</v>
          </cell>
          <cell r="BV17">
            <v>26445.679999999993</v>
          </cell>
          <cell r="BW17">
            <v>6.7491016741527137</v>
          </cell>
          <cell r="BX17">
            <v>41165.07</v>
          </cell>
          <cell r="BY17">
            <v>27076.58</v>
          </cell>
          <cell r="BZ17">
            <v>17149.3</v>
          </cell>
          <cell r="CA17">
            <v>44225.880000000005</v>
          </cell>
          <cell r="CB17">
            <v>3060.8100000000049</v>
          </cell>
          <cell r="CC17">
            <v>7.4354543791617624</v>
          </cell>
          <cell r="CD17">
            <v>955944.40999999992</v>
          </cell>
          <cell r="CE17">
            <v>492907.96</v>
          </cell>
          <cell r="CF17">
            <v>81218.420000000013</v>
          </cell>
          <cell r="CG17">
            <v>398244.95</v>
          </cell>
          <cell r="CH17">
            <v>60706</v>
          </cell>
          <cell r="CI17">
            <v>891152.91</v>
          </cell>
          <cell r="CJ17">
            <v>6.3284307864521736</v>
          </cell>
          <cell r="CK17">
            <v>141924.42000000001</v>
          </cell>
          <cell r="CL17">
            <v>20.447514425075241</v>
          </cell>
          <cell r="CM17">
            <v>1033077.3300000001</v>
          </cell>
        </row>
        <row r="18">
          <cell r="AW18" t="str">
            <v>PB</v>
          </cell>
          <cell r="AX18">
            <v>718368.17</v>
          </cell>
          <cell r="AY18">
            <v>415697.82</v>
          </cell>
          <cell r="AZ18">
            <v>114154.19</v>
          </cell>
          <cell r="BA18">
            <v>187879.61</v>
          </cell>
          <cell r="BB18">
            <v>54558.22</v>
          </cell>
          <cell r="BC18">
            <v>603577.42999999993</v>
          </cell>
          <cell r="BD18">
            <v>168712.41</v>
          </cell>
          <cell r="BE18">
            <v>772289.84</v>
          </cell>
          <cell r="BF18">
            <v>53921.669999999925</v>
          </cell>
          <cell r="BG18">
            <v>7.5061329624334441</v>
          </cell>
          <cell r="BH18">
            <v>82762.34</v>
          </cell>
          <cell r="BI18">
            <v>13984.59</v>
          </cell>
          <cell r="BJ18">
            <v>7889.22</v>
          </cell>
          <cell r="BK18">
            <v>44809.98</v>
          </cell>
          <cell r="BL18">
            <v>26114.83</v>
          </cell>
          <cell r="BM18">
            <v>58794.570000000007</v>
          </cell>
          <cell r="BN18">
            <v>34004.050000000003</v>
          </cell>
          <cell r="BO18">
            <v>92798.62000000001</v>
          </cell>
          <cell r="BP18">
            <v>10036.280000000013</v>
          </cell>
          <cell r="BQ18">
            <v>12.126626675852826</v>
          </cell>
          <cell r="BR18">
            <v>716080</v>
          </cell>
          <cell r="BS18">
            <v>345039.86</v>
          </cell>
          <cell r="BT18">
            <v>395697.22</v>
          </cell>
          <cell r="BU18">
            <v>740737.08</v>
          </cell>
          <cell r="BV18">
            <v>24657.079999999958</v>
          </cell>
          <cell r="BW18">
            <v>3.4433415260864653</v>
          </cell>
          <cell r="BX18">
            <v>68274.47</v>
          </cell>
          <cell r="BY18">
            <v>36429.050000000003</v>
          </cell>
          <cell r="BZ18">
            <v>34561.269999999997</v>
          </cell>
          <cell r="CA18">
            <v>70990.320000000007</v>
          </cell>
          <cell r="CB18">
            <v>2715.8500000000058</v>
          </cell>
          <cell r="CC18">
            <v>3.9778412047724512</v>
          </cell>
          <cell r="CD18">
            <v>1585484.98</v>
          </cell>
          <cell r="CE18">
            <v>811151.32000000007</v>
          </cell>
          <cell r="CF18">
            <v>122043.41</v>
          </cell>
          <cell r="CG18">
            <v>662948.07999999996</v>
          </cell>
          <cell r="CH18">
            <v>80673.05</v>
          </cell>
          <cell r="CI18">
            <v>1474099.4</v>
          </cell>
          <cell r="CJ18">
            <v>3.3786916474982007</v>
          </cell>
          <cell r="CK18">
            <v>202716.46000000002</v>
          </cell>
          <cell r="CL18">
            <v>27.044710992306676</v>
          </cell>
          <cell r="CM18">
            <v>1676815.8599999999</v>
          </cell>
        </row>
        <row r="19">
          <cell r="AW19" t="str">
            <v>PE</v>
          </cell>
          <cell r="AX19">
            <v>1486652.78</v>
          </cell>
          <cell r="AY19">
            <v>858721.82</v>
          </cell>
          <cell r="AZ19">
            <v>240740.04</v>
          </cell>
          <cell r="BA19">
            <v>360673.99</v>
          </cell>
          <cell r="BB19">
            <v>172944.66</v>
          </cell>
          <cell r="BC19">
            <v>1219395.81</v>
          </cell>
          <cell r="BD19">
            <v>413684.7</v>
          </cell>
          <cell r="BE19">
            <v>1633080.51</v>
          </cell>
          <cell r="BF19">
            <v>146427.72999999998</v>
          </cell>
          <cell r="BG19">
            <v>9.8494908811188573</v>
          </cell>
          <cell r="BH19">
            <v>148040.26999999999</v>
          </cell>
          <cell r="BI19">
            <v>33330.93</v>
          </cell>
          <cell r="BJ19">
            <v>26402.66</v>
          </cell>
          <cell r="BK19">
            <v>59790.1</v>
          </cell>
          <cell r="BL19">
            <v>8742.84</v>
          </cell>
          <cell r="BM19">
            <v>93121.03</v>
          </cell>
          <cell r="BN19">
            <v>35145.5</v>
          </cell>
          <cell r="BO19">
            <v>128266.53</v>
          </cell>
          <cell r="BP19">
            <v>-19773.739999999991</v>
          </cell>
          <cell r="BQ19">
            <v>-13.357000767426316</v>
          </cell>
          <cell r="BR19">
            <v>1263040</v>
          </cell>
          <cell r="BS19">
            <v>552870.15</v>
          </cell>
          <cell r="BT19">
            <v>846796.17</v>
          </cell>
          <cell r="BU19">
            <v>1399666.32</v>
          </cell>
          <cell r="BV19">
            <v>136626.32000000007</v>
          </cell>
          <cell r="BW19">
            <v>10.817259944261469</v>
          </cell>
          <cell r="BX19">
            <v>130397.98</v>
          </cell>
          <cell r="BY19">
            <v>70319.22</v>
          </cell>
          <cell r="BZ19">
            <v>69699.31</v>
          </cell>
          <cell r="CA19">
            <v>140018.53</v>
          </cell>
          <cell r="CB19">
            <v>9620.5500000000029</v>
          </cell>
          <cell r="CC19">
            <v>7.3778366812123952</v>
          </cell>
          <cell r="CD19">
            <v>3028131.03</v>
          </cell>
          <cell r="CE19">
            <v>1515242.1199999999</v>
          </cell>
          <cell r="CF19">
            <v>267142.7</v>
          </cell>
          <cell r="CG19">
            <v>1336959.57</v>
          </cell>
          <cell r="CH19">
            <v>181687.5</v>
          </cell>
          <cell r="CI19">
            <v>2852201.69</v>
          </cell>
          <cell r="CJ19">
            <v>4.7395271177004474</v>
          </cell>
          <cell r="CK19">
            <v>448830.2</v>
          </cell>
          <cell r="CL19">
            <v>47.16072234631531</v>
          </cell>
          <cell r="CM19">
            <v>3301031.89</v>
          </cell>
        </row>
        <row r="20">
          <cell r="AW20" t="str">
            <v>PI</v>
          </cell>
          <cell r="AX20">
            <v>486246.93</v>
          </cell>
          <cell r="AY20">
            <v>234926.98</v>
          </cell>
          <cell r="AZ20">
            <v>92140.98</v>
          </cell>
          <cell r="BA20">
            <v>89139.96</v>
          </cell>
          <cell r="BB20">
            <v>63675.96</v>
          </cell>
          <cell r="BC20">
            <v>324066.94</v>
          </cell>
          <cell r="BD20">
            <v>155816.94</v>
          </cell>
          <cell r="BE20">
            <v>479883.88</v>
          </cell>
          <cell r="BF20">
            <v>-6363.0499999999884</v>
          </cell>
          <cell r="BG20">
            <v>-1.3086046630669705</v>
          </cell>
          <cell r="BH20">
            <v>85339.03</v>
          </cell>
          <cell r="BI20">
            <v>15565.71</v>
          </cell>
          <cell r="BJ20">
            <v>19831.75</v>
          </cell>
          <cell r="BK20">
            <v>33768.06</v>
          </cell>
          <cell r="BL20">
            <v>18085.53</v>
          </cell>
          <cell r="BM20">
            <v>49333.77</v>
          </cell>
          <cell r="BN20">
            <v>37917.279999999999</v>
          </cell>
          <cell r="BO20">
            <v>87251.049999999988</v>
          </cell>
          <cell r="BP20">
            <v>1912.0199999999895</v>
          </cell>
          <cell r="BQ20">
            <v>2.2404988666967385</v>
          </cell>
          <cell r="BR20">
            <v>334880</v>
          </cell>
          <cell r="BS20">
            <v>165335.74</v>
          </cell>
          <cell r="BT20">
            <v>193396.34</v>
          </cell>
          <cell r="BU20">
            <v>358732.07999999996</v>
          </cell>
          <cell r="BV20">
            <v>23852.079999999958</v>
          </cell>
          <cell r="BW20">
            <v>7.1225752508361078</v>
          </cell>
          <cell r="BX20">
            <v>34319.879999999997</v>
          </cell>
          <cell r="BY20">
            <v>30798.09</v>
          </cell>
          <cell r="BZ20">
            <v>14233.7</v>
          </cell>
          <cell r="CA20">
            <v>45031.79</v>
          </cell>
          <cell r="CB20">
            <v>10711.910000000003</v>
          </cell>
          <cell r="CC20">
            <v>31.211968107114608</v>
          </cell>
          <cell r="CD20">
            <v>940785.84</v>
          </cell>
          <cell r="CE20">
            <v>446626.52</v>
          </cell>
          <cell r="CF20">
            <v>111972.73</v>
          </cell>
          <cell r="CG20">
            <v>330538.06</v>
          </cell>
          <cell r="CH20">
            <v>81761.489999999991</v>
          </cell>
          <cell r="CI20">
            <v>777164.58000000007</v>
          </cell>
          <cell r="CJ20">
            <v>4.0309086219820358</v>
          </cell>
          <cell r="CK20">
            <v>193734.21999999997</v>
          </cell>
          <cell r="CL20">
            <v>0</v>
          </cell>
          <cell r="CM20">
            <v>970898.8</v>
          </cell>
        </row>
        <row r="21">
          <cell r="AW21" t="str">
            <v>RN</v>
          </cell>
          <cell r="AX21">
            <v>737408.78</v>
          </cell>
          <cell r="AY21">
            <v>382302.73</v>
          </cell>
          <cell r="AZ21">
            <v>106483.62</v>
          </cell>
          <cell r="BA21">
            <v>202736.27</v>
          </cell>
          <cell r="BB21">
            <v>50653.86</v>
          </cell>
          <cell r="BC21">
            <v>585039</v>
          </cell>
          <cell r="BD21">
            <v>157137.47999999998</v>
          </cell>
          <cell r="BE21">
            <v>742176.48</v>
          </cell>
          <cell r="BF21">
            <v>4767.6999999999534</v>
          </cell>
          <cell r="BG21">
            <v>0.64654776689802274</v>
          </cell>
          <cell r="BH21">
            <v>78467.13</v>
          </cell>
          <cell r="BI21">
            <v>6038.79</v>
          </cell>
          <cell r="BJ21">
            <v>9108.98</v>
          </cell>
          <cell r="BK21">
            <v>40759.82</v>
          </cell>
          <cell r="BL21">
            <v>30564.76</v>
          </cell>
          <cell r="BM21">
            <v>46798.61</v>
          </cell>
          <cell r="BN21">
            <v>39673.74</v>
          </cell>
          <cell r="BO21">
            <v>86472.35</v>
          </cell>
          <cell r="BP21">
            <v>8005.2200000000012</v>
          </cell>
          <cell r="BQ21">
            <v>10.202004329711054</v>
          </cell>
          <cell r="BR21">
            <v>669600</v>
          </cell>
          <cell r="BS21">
            <v>287193.58</v>
          </cell>
          <cell r="BT21">
            <v>479010.5</v>
          </cell>
          <cell r="BU21">
            <v>766204.08000000007</v>
          </cell>
          <cell r="BV21">
            <v>96604.080000000075</v>
          </cell>
          <cell r="BW21">
            <v>14.427132616487468</v>
          </cell>
          <cell r="BX21">
            <v>66846.42</v>
          </cell>
          <cell r="BY21">
            <v>40509.67</v>
          </cell>
          <cell r="BZ21">
            <v>32023.18</v>
          </cell>
          <cell r="CA21">
            <v>72532.850000000006</v>
          </cell>
          <cell r="CB21">
            <v>5686.4300000000076</v>
          </cell>
          <cell r="CC21">
            <v>8.5067083622428949</v>
          </cell>
          <cell r="CD21">
            <v>1552322.33</v>
          </cell>
          <cell r="CE21">
            <v>716044.77</v>
          </cell>
          <cell r="CF21">
            <v>115592.59999999999</v>
          </cell>
          <cell r="CG21">
            <v>754529.77</v>
          </cell>
          <cell r="CH21">
            <v>81218.62</v>
          </cell>
          <cell r="CI21">
            <v>1470574.54</v>
          </cell>
          <cell r="CJ21">
            <v>6.3835469026625873</v>
          </cell>
          <cell r="CK21">
            <v>196811.21999999997</v>
          </cell>
          <cell r="CL21">
            <v>15.77837405989564</v>
          </cell>
          <cell r="CM21">
            <v>1667385.76</v>
          </cell>
        </row>
        <row r="22">
          <cell r="AW22" t="str">
            <v>SE</v>
          </cell>
          <cell r="AX22">
            <v>410340.04</v>
          </cell>
          <cell r="AY22">
            <v>234794.22</v>
          </cell>
          <cell r="AZ22">
            <v>82164.899999999994</v>
          </cell>
          <cell r="BA22">
            <v>106053.7</v>
          </cell>
          <cell r="BB22">
            <v>8427.76</v>
          </cell>
          <cell r="BC22">
            <v>340847.92</v>
          </cell>
          <cell r="BD22">
            <v>90592.659999999989</v>
          </cell>
          <cell r="BE22">
            <v>431440.57999999996</v>
          </cell>
          <cell r="BF22">
            <v>21100.539999999979</v>
          </cell>
          <cell r="BG22">
            <v>5.1422083986734464</v>
          </cell>
          <cell r="BH22">
            <v>42048.46</v>
          </cell>
          <cell r="BI22">
            <v>8982.4599999999991</v>
          </cell>
          <cell r="BJ22">
            <v>5983.53</v>
          </cell>
          <cell r="BK22">
            <v>21144.47</v>
          </cell>
          <cell r="BL22">
            <v>6656.73</v>
          </cell>
          <cell r="BM22">
            <v>30126.93</v>
          </cell>
          <cell r="BN22">
            <v>12640.259999999998</v>
          </cell>
          <cell r="BO22">
            <v>42767.19</v>
          </cell>
          <cell r="BP22">
            <v>718.7300000000032</v>
          </cell>
          <cell r="BQ22">
            <v>1.7092897100155471</v>
          </cell>
          <cell r="BR22">
            <v>505280</v>
          </cell>
          <cell r="BS22">
            <v>263164.78000000003</v>
          </cell>
          <cell r="BT22">
            <v>260671.82</v>
          </cell>
          <cell r="BU22">
            <v>523836.60000000003</v>
          </cell>
          <cell r="BV22">
            <v>18556.600000000035</v>
          </cell>
          <cell r="BW22">
            <v>3.6725379987333819</v>
          </cell>
          <cell r="BX22">
            <v>43095.08</v>
          </cell>
          <cell r="BY22">
            <v>26758.959999999999</v>
          </cell>
          <cell r="BZ22">
            <v>17015.93</v>
          </cell>
          <cell r="CA22">
            <v>43774.89</v>
          </cell>
          <cell r="CB22">
            <v>679.80999999999767</v>
          </cell>
          <cell r="CC22">
            <v>1.5774654554533778</v>
          </cell>
          <cell r="CD22">
            <v>1000763.58</v>
          </cell>
          <cell r="CE22">
            <v>533700.42000000004</v>
          </cell>
          <cell r="CF22">
            <v>88148.43</v>
          </cell>
          <cell r="CG22">
            <v>404885.92</v>
          </cell>
          <cell r="CH22">
            <v>15084.49</v>
          </cell>
          <cell r="CI22">
            <v>938586.34000000008</v>
          </cell>
          <cell r="CJ22">
            <v>0.54009562644090181</v>
          </cell>
          <cell r="CK22">
            <v>103232.92</v>
          </cell>
          <cell r="CL22">
            <v>53.576361255444709</v>
          </cell>
          <cell r="CM22">
            <v>1041819.2600000001</v>
          </cell>
        </row>
        <row r="23">
          <cell r="AW23" t="str">
            <v>Soma (NE)</v>
          </cell>
          <cell r="AX23">
            <v>7247253.1600000001</v>
          </cell>
          <cell r="AY23">
            <v>4354385.2399999993</v>
          </cell>
          <cell r="AZ23">
            <v>1172053.6600000001</v>
          </cell>
          <cell r="BA23">
            <v>1687030.89</v>
          </cell>
          <cell r="BB23">
            <v>516538.91000000003</v>
          </cell>
          <cell r="BC23">
            <v>6041416.1299999999</v>
          </cell>
          <cell r="BD23">
            <v>1688592.5699999998</v>
          </cell>
          <cell r="BE23">
            <v>7730008.6999999993</v>
          </cell>
          <cell r="BF23">
            <v>482755.5400000001</v>
          </cell>
          <cell r="BG23">
            <v>6.6612208700599629</v>
          </cell>
          <cell r="BH23">
            <v>866220.59000000008</v>
          </cell>
          <cell r="BI23">
            <v>157597.76999999999</v>
          </cell>
          <cell r="BJ23">
            <v>117094.79</v>
          </cell>
          <cell r="BK23">
            <v>445025.65999999992</v>
          </cell>
          <cell r="BL23">
            <v>209060.51000000004</v>
          </cell>
          <cell r="BM23">
            <v>602623.43000000005</v>
          </cell>
          <cell r="BN23">
            <v>326155.30000000005</v>
          </cell>
          <cell r="BO23">
            <v>928778.73</v>
          </cell>
          <cell r="BP23">
            <v>62558.140000000007</v>
          </cell>
          <cell r="BQ23">
            <v>7.2219640957738029</v>
          </cell>
          <cell r="BR23">
            <v>6659760</v>
          </cell>
          <cell r="BS23">
            <v>3153433.1100000003</v>
          </cell>
          <cell r="BT23">
            <v>3923023.4099999997</v>
          </cell>
          <cell r="BU23">
            <v>7076456.5200000005</v>
          </cell>
          <cell r="BV23">
            <v>416696.52000000025</v>
          </cell>
          <cell r="BW23">
            <v>6.2569299794587225</v>
          </cell>
          <cell r="BX23">
            <v>658129.56000000006</v>
          </cell>
          <cell r="BY23">
            <v>407902.99000000005</v>
          </cell>
          <cell r="BZ23">
            <v>305067.01</v>
          </cell>
          <cell r="CA23">
            <v>712970</v>
          </cell>
          <cell r="CB23">
            <v>54840.440000000039</v>
          </cell>
          <cell r="CC23">
            <v>8.3327726534574786</v>
          </cell>
          <cell r="CD23">
            <v>15431363.309999999</v>
          </cell>
          <cell r="CE23">
            <v>8073319.1099999994</v>
          </cell>
          <cell r="CF23">
            <v>1289148.4500000002</v>
          </cell>
          <cell r="CG23">
            <v>6360146.9700000007</v>
          </cell>
          <cell r="CH23">
            <v>725599.42</v>
          </cell>
          <cell r="CI23">
            <v>14433466.079999998</v>
          </cell>
          <cell r="CJ23">
            <v>4.1666149013873479</v>
          </cell>
          <cell r="CK23">
            <v>2014747.8699999999</v>
          </cell>
          <cell r="CL23">
            <v>27.9019075423804</v>
          </cell>
          <cell r="CM23">
            <v>16448213.950000001</v>
          </cell>
        </row>
        <row r="24">
          <cell r="AW24" t="str">
            <v>DF</v>
          </cell>
          <cell r="AX24">
            <v>1699516.19</v>
          </cell>
          <cell r="AY24">
            <v>1093158.5</v>
          </cell>
          <cell r="AZ24">
            <v>225981.63</v>
          </cell>
          <cell r="BA24">
            <v>408901</v>
          </cell>
          <cell r="BB24">
            <v>79760.94</v>
          </cell>
          <cell r="BC24">
            <v>1502059.5</v>
          </cell>
          <cell r="BD24">
            <v>305742.57</v>
          </cell>
          <cell r="BE24">
            <v>1807802.07</v>
          </cell>
          <cell r="BF24">
            <v>108285.88000000012</v>
          </cell>
          <cell r="BG24">
            <v>6.37157095867384</v>
          </cell>
          <cell r="BH24">
            <v>159209.81</v>
          </cell>
          <cell r="BI24">
            <v>32761.14</v>
          </cell>
          <cell r="BJ24">
            <v>16874.47</v>
          </cell>
          <cell r="BK24">
            <v>91318.19</v>
          </cell>
          <cell r="BL24">
            <v>36252.49</v>
          </cell>
          <cell r="BM24">
            <v>124079.33</v>
          </cell>
          <cell r="BN24">
            <v>53126.96</v>
          </cell>
          <cell r="BO24">
            <v>177206.29</v>
          </cell>
          <cell r="BP24">
            <v>17996.48000000001</v>
          </cell>
          <cell r="BQ24">
            <v>11.303625071847025</v>
          </cell>
          <cell r="BR24">
            <v>1327280</v>
          </cell>
          <cell r="BS24">
            <v>546901.68999999994</v>
          </cell>
          <cell r="BT24">
            <v>828551.39</v>
          </cell>
          <cell r="BU24">
            <v>1375453.08</v>
          </cell>
          <cell r="BV24">
            <v>48173.080000000075</v>
          </cell>
          <cell r="BW24">
            <v>3.6294587426918268</v>
          </cell>
          <cell r="BX24">
            <v>143370.26999999999</v>
          </cell>
          <cell r="BY24">
            <v>88785.83</v>
          </cell>
          <cell r="BZ24">
            <v>76136.649999999994</v>
          </cell>
          <cell r="CA24">
            <v>164922.47999999998</v>
          </cell>
          <cell r="CB24">
            <v>21552.209999999992</v>
          </cell>
          <cell r="CC24">
            <v>15.032551727774521</v>
          </cell>
          <cell r="CD24">
            <v>3329376.27</v>
          </cell>
          <cell r="CE24">
            <v>1761607.16</v>
          </cell>
          <cell r="CF24">
            <v>242856.1</v>
          </cell>
          <cell r="CG24">
            <v>1404907.23</v>
          </cell>
          <cell r="CH24">
            <v>116013.43</v>
          </cell>
          <cell r="CI24">
            <v>3166514.3899999997</v>
          </cell>
          <cell r="CJ24">
            <v>3.5172166384152206</v>
          </cell>
          <cell r="CK24">
            <v>358869.53</v>
          </cell>
          <cell r="CL24">
            <v>32.693043614304173</v>
          </cell>
          <cell r="CM24">
            <v>3525383.92</v>
          </cell>
        </row>
        <row r="25">
          <cell r="AW25" t="str">
            <v>GO</v>
          </cell>
          <cell r="AX25">
            <v>1321047.8700000001</v>
          </cell>
          <cell r="AY25">
            <v>765449.28</v>
          </cell>
          <cell r="AZ25">
            <v>180712.82</v>
          </cell>
          <cell r="BA25">
            <v>424900.48</v>
          </cell>
          <cell r="BB25">
            <v>139287.18</v>
          </cell>
          <cell r="BC25">
            <v>1190349.76</v>
          </cell>
          <cell r="BD25">
            <v>320000</v>
          </cell>
          <cell r="BE25">
            <v>1510349.76</v>
          </cell>
          <cell r="BF25">
            <v>189301.8899999999</v>
          </cell>
          <cell r="BG25">
            <v>14.329676789078045</v>
          </cell>
          <cell r="BH25">
            <v>102990.56</v>
          </cell>
          <cell r="BI25">
            <v>33546.720000000001</v>
          </cell>
          <cell r="BJ25">
            <v>18914.27</v>
          </cell>
          <cell r="BK25">
            <v>33962.339999999997</v>
          </cell>
          <cell r="BL25">
            <v>16554.099999999999</v>
          </cell>
          <cell r="BM25">
            <v>67509.06</v>
          </cell>
          <cell r="BN25">
            <v>35468.369999999995</v>
          </cell>
          <cell r="BO25">
            <v>102977.43</v>
          </cell>
          <cell r="BP25">
            <v>-13.130000000004657</v>
          </cell>
          <cell r="BQ25">
            <v>-1.2748741243862213E-2</v>
          </cell>
          <cell r="BR25">
            <v>2253840</v>
          </cell>
          <cell r="BS25">
            <v>895505.28</v>
          </cell>
          <cell r="BT25">
            <v>1459996.32</v>
          </cell>
          <cell r="BU25">
            <v>2355501.6</v>
          </cell>
          <cell r="BV25">
            <v>101661.60000000009</v>
          </cell>
          <cell r="BW25">
            <v>4.5105952507720195</v>
          </cell>
          <cell r="BX25">
            <v>128725.74</v>
          </cell>
          <cell r="BY25">
            <v>70427.520000000004</v>
          </cell>
          <cell r="BZ25">
            <v>68503.27</v>
          </cell>
          <cell r="CA25">
            <v>138930.79</v>
          </cell>
          <cell r="CB25">
            <v>10205.050000000003</v>
          </cell>
          <cell r="CC25">
            <v>7.9277462300857637</v>
          </cell>
          <cell r="CD25">
            <v>3806604.1700000004</v>
          </cell>
          <cell r="CE25">
            <v>1764928.8</v>
          </cell>
          <cell r="CF25">
            <v>199627.09</v>
          </cell>
          <cell r="CG25">
            <v>1987362.4100000001</v>
          </cell>
          <cell r="CH25">
            <v>155841.28</v>
          </cell>
          <cell r="CI25">
            <v>3752291.21</v>
          </cell>
          <cell r="CJ25">
            <v>4.3149374058312446</v>
          </cell>
          <cell r="CK25">
            <v>355468.37</v>
          </cell>
          <cell r="CL25">
            <v>69.654639661188241</v>
          </cell>
          <cell r="CM25">
            <v>4107759.58</v>
          </cell>
        </row>
        <row r="26">
          <cell r="AW26" t="str">
            <v>MS</v>
          </cell>
          <cell r="AX26">
            <v>900607.3</v>
          </cell>
          <cell r="AY26">
            <v>478768.03</v>
          </cell>
          <cell r="AZ26">
            <v>121526.96</v>
          </cell>
          <cell r="BA26">
            <v>240449.33</v>
          </cell>
          <cell r="BB26">
            <v>106980.71</v>
          </cell>
          <cell r="BC26">
            <v>719217.36</v>
          </cell>
          <cell r="BD26">
            <v>228507.67</v>
          </cell>
          <cell r="BE26">
            <v>947725.03</v>
          </cell>
          <cell r="BF26">
            <v>47117.729999999981</v>
          </cell>
          <cell r="BG26">
            <v>5.2317730491413936</v>
          </cell>
          <cell r="BH26">
            <v>153012.95000000001</v>
          </cell>
          <cell r="BI26">
            <v>22693.51</v>
          </cell>
          <cell r="BJ26">
            <v>19605.240000000002</v>
          </cell>
          <cell r="BK26">
            <v>79170.02</v>
          </cell>
          <cell r="BL26">
            <v>33568.660000000003</v>
          </cell>
          <cell r="BM26">
            <v>101863.53</v>
          </cell>
          <cell r="BN26">
            <v>53173.900000000009</v>
          </cell>
          <cell r="BO26">
            <v>155037.43</v>
          </cell>
          <cell r="BP26">
            <v>2024.4799999999814</v>
          </cell>
          <cell r="BQ26">
            <v>1.3230775565074597</v>
          </cell>
          <cell r="BR26">
            <v>1640560</v>
          </cell>
          <cell r="BS26">
            <v>628116.11</v>
          </cell>
          <cell r="BT26">
            <v>1087967.8899999999</v>
          </cell>
          <cell r="BU26">
            <v>1716084</v>
          </cell>
          <cell r="BV26">
            <v>75524</v>
          </cell>
          <cell r="BW26">
            <v>4.603550007314575</v>
          </cell>
          <cell r="BX26">
            <v>120341.62</v>
          </cell>
          <cell r="BY26">
            <v>53404.15</v>
          </cell>
          <cell r="BZ26">
            <v>65327.78</v>
          </cell>
          <cell r="CA26">
            <v>118731.93</v>
          </cell>
          <cell r="CB26">
            <v>-1609.6900000000023</v>
          </cell>
          <cell r="CC26">
            <v>-1.3376004079054298</v>
          </cell>
          <cell r="CD26">
            <v>2814521.87</v>
          </cell>
          <cell r="CE26">
            <v>1182981.7999999998</v>
          </cell>
          <cell r="CF26">
            <v>141132.20000000001</v>
          </cell>
          <cell r="CG26">
            <v>1472915.0199999998</v>
          </cell>
          <cell r="CH26">
            <v>140549.37</v>
          </cell>
          <cell r="CI26">
            <v>2655896.8199999994</v>
          </cell>
          <cell r="CJ26">
            <v>3.2530223248081285</v>
          </cell>
          <cell r="CK26">
            <v>281681.57</v>
          </cell>
          <cell r="CL26">
            <v>16.253229880313654</v>
          </cell>
          <cell r="CM26">
            <v>2937578.3899999992</v>
          </cell>
        </row>
        <row r="27">
          <cell r="AW27" t="str">
            <v>MT</v>
          </cell>
          <cell r="AX27">
            <v>1074562.5</v>
          </cell>
          <cell r="AY27">
            <v>567994.80000000005</v>
          </cell>
          <cell r="AZ27">
            <v>152245.84</v>
          </cell>
          <cell r="BA27">
            <v>273819.67</v>
          </cell>
          <cell r="BB27">
            <v>22499.29</v>
          </cell>
          <cell r="BC27">
            <v>841814.47</v>
          </cell>
          <cell r="BD27">
            <v>174745.13</v>
          </cell>
          <cell r="BE27">
            <v>1016559.6</v>
          </cell>
          <cell r="BF27">
            <v>-58002.900000000023</v>
          </cell>
          <cell r="BG27">
            <v>-5.3978153899842978</v>
          </cell>
          <cell r="BH27">
            <v>133560.18</v>
          </cell>
          <cell r="BI27">
            <v>26130.400000000001</v>
          </cell>
          <cell r="BJ27">
            <v>14420.02</v>
          </cell>
          <cell r="BK27">
            <v>61179.75</v>
          </cell>
          <cell r="BL27">
            <v>33215.43</v>
          </cell>
          <cell r="BM27">
            <v>87310.15</v>
          </cell>
          <cell r="BN27">
            <v>47635.45</v>
          </cell>
          <cell r="BO27">
            <v>134945.59999999998</v>
          </cell>
          <cell r="BP27">
            <v>1385.4199999999837</v>
          </cell>
          <cell r="BQ27">
            <v>1.0373001893228833</v>
          </cell>
          <cell r="BR27">
            <v>2732640</v>
          </cell>
          <cell r="BS27">
            <v>913021.17</v>
          </cell>
          <cell r="BT27">
            <v>1698482.55</v>
          </cell>
          <cell r="BU27">
            <v>2611503.7200000002</v>
          </cell>
          <cell r="BV27">
            <v>-121136.2799999998</v>
          </cell>
          <cell r="BW27">
            <v>-4.4329395749165572</v>
          </cell>
          <cell r="BX27">
            <v>137926.70000000001</v>
          </cell>
          <cell r="BY27">
            <v>55106</v>
          </cell>
          <cell r="BZ27">
            <v>61004.46</v>
          </cell>
          <cell r="CA27">
            <v>116110.45999999999</v>
          </cell>
          <cell r="CB27">
            <v>-21816.24000000002</v>
          </cell>
          <cell r="CC27">
            <v>-15.817271057743001</v>
          </cell>
          <cell r="CD27">
            <v>4078689.38</v>
          </cell>
          <cell r="CE27">
            <v>1562252.37</v>
          </cell>
          <cell r="CF27">
            <v>166665.85999999999</v>
          </cell>
          <cell r="CG27">
            <v>2094486.43</v>
          </cell>
          <cell r="CH27">
            <v>55714.720000000001</v>
          </cell>
          <cell r="CI27">
            <v>3656738.8</v>
          </cell>
          <cell r="CJ27">
            <v>-6.7383102538957189</v>
          </cell>
          <cell r="CK27">
            <v>222380.58</v>
          </cell>
          <cell r="CL27">
            <v>40.974548829378023</v>
          </cell>
          <cell r="CM27">
            <v>3879119.38</v>
          </cell>
        </row>
        <row r="28">
          <cell r="AW28" t="str">
            <v>Soma (CO)</v>
          </cell>
          <cell r="AX28">
            <v>4995733.8600000003</v>
          </cell>
          <cell r="AY28">
            <v>2905370.6100000003</v>
          </cell>
          <cell r="AZ28">
            <v>680467.25</v>
          </cell>
          <cell r="BA28">
            <v>1348070.48</v>
          </cell>
          <cell r="BB28">
            <v>348528.12</v>
          </cell>
          <cell r="BC28">
            <v>4253441.09</v>
          </cell>
          <cell r="BD28">
            <v>1028995.3700000001</v>
          </cell>
          <cell r="BE28">
            <v>5282436.46</v>
          </cell>
          <cell r="BF28">
            <v>286702.59999999998</v>
          </cell>
          <cell r="BG28">
            <v>5.7389486316630958</v>
          </cell>
          <cell r="BH28">
            <v>548773.5</v>
          </cell>
          <cell r="BI28">
            <v>115131.76999999999</v>
          </cell>
          <cell r="BJ28">
            <v>69814.000000000015</v>
          </cell>
          <cell r="BK28">
            <v>265630.3</v>
          </cell>
          <cell r="BL28">
            <v>119590.68</v>
          </cell>
          <cell r="BM28">
            <v>380762.07000000007</v>
          </cell>
          <cell r="BN28">
            <v>189404.68</v>
          </cell>
          <cell r="BO28">
            <v>570166.75</v>
          </cell>
          <cell r="BP28">
            <v>21393.249999999971</v>
          </cell>
          <cell r="BQ28">
            <v>3.898375194866365</v>
          </cell>
          <cell r="BR28">
            <v>7954320</v>
          </cell>
          <cell r="BS28">
            <v>2983544.25</v>
          </cell>
          <cell r="BT28">
            <v>5074998.1499999994</v>
          </cell>
          <cell r="BU28">
            <v>8058542.4000000004</v>
          </cell>
          <cell r="BV28">
            <v>104222.40000000037</v>
          </cell>
          <cell r="BW28">
            <v>1.3102615937000319</v>
          </cell>
          <cell r="BX28">
            <v>530364.33000000007</v>
          </cell>
          <cell r="BY28">
            <v>267723.5</v>
          </cell>
          <cell r="BZ28">
            <v>270972.15999999997</v>
          </cell>
          <cell r="CA28">
            <v>538695.66</v>
          </cell>
          <cell r="CB28">
            <v>8331.3299999999726</v>
          </cell>
          <cell r="CC28">
            <v>1.5708692173924992</v>
          </cell>
          <cell r="CD28">
            <v>14029191.690000001</v>
          </cell>
          <cell r="CE28">
            <v>6271770.1299999999</v>
          </cell>
          <cell r="CF28">
            <v>750281.25</v>
          </cell>
          <cell r="CG28">
            <v>6959671.0899999999</v>
          </cell>
          <cell r="CH28">
            <v>468118.79999999993</v>
          </cell>
          <cell r="CI28">
            <v>13231441.219999999</v>
          </cell>
          <cell r="CJ28">
            <v>0.62566931824514427</v>
          </cell>
          <cell r="CK28">
            <v>1218400.05</v>
          </cell>
          <cell r="CL28">
            <v>38.451280242466964</v>
          </cell>
          <cell r="CM28">
            <v>14449841.27</v>
          </cell>
        </row>
        <row r="29">
          <cell r="AW29" t="str">
            <v>ES</v>
          </cell>
          <cell r="AX29">
            <v>1506658.73</v>
          </cell>
          <cell r="AY29">
            <v>787192.56</v>
          </cell>
          <cell r="AZ29">
            <v>79882.31</v>
          </cell>
          <cell r="BA29">
            <v>296676.07</v>
          </cell>
          <cell r="BB29">
            <v>164028.23000000001</v>
          </cell>
          <cell r="BC29">
            <v>1083868.6300000001</v>
          </cell>
          <cell r="BD29">
            <v>243910.54</v>
          </cell>
          <cell r="BE29">
            <v>1327779.1700000002</v>
          </cell>
          <cell r="BF29">
            <v>-178879.55999999982</v>
          </cell>
          <cell r="BG29">
            <v>-11.872599709424565</v>
          </cell>
          <cell r="BH29">
            <v>144321.60000000001</v>
          </cell>
          <cell r="BI29">
            <v>27965.89</v>
          </cell>
          <cell r="BJ29">
            <v>9796.35</v>
          </cell>
          <cell r="BK29">
            <v>73789.62</v>
          </cell>
          <cell r="BL29">
            <v>25837.69</v>
          </cell>
          <cell r="BM29">
            <v>101755.51</v>
          </cell>
          <cell r="BN29">
            <v>35634.04</v>
          </cell>
          <cell r="BO29">
            <v>137389.54999999999</v>
          </cell>
          <cell r="BP29">
            <v>-6932.0500000000175</v>
          </cell>
          <cell r="BQ29">
            <v>-4.8031964723229352</v>
          </cell>
          <cell r="BR29">
            <v>1171040</v>
          </cell>
          <cell r="BS29">
            <v>456270.44</v>
          </cell>
          <cell r="BT29">
            <v>708002.44</v>
          </cell>
          <cell r="BU29">
            <v>1164272.8799999999</v>
          </cell>
          <cell r="BV29">
            <v>-6767.1200000001118</v>
          </cell>
          <cell r="BW29">
            <v>-0.57787266019949035</v>
          </cell>
          <cell r="BX29">
            <v>111260.64</v>
          </cell>
          <cell r="BY29">
            <v>43785.68</v>
          </cell>
          <cell r="BZ29">
            <v>53950.16</v>
          </cell>
          <cell r="CA29">
            <v>97735.84</v>
          </cell>
          <cell r="CB29">
            <v>-13524.800000000003</v>
          </cell>
          <cell r="CC29">
            <v>-12.155960993932807</v>
          </cell>
          <cell r="CD29">
            <v>2933280.97</v>
          </cell>
          <cell r="CE29">
            <v>1315214.57</v>
          </cell>
          <cell r="CF29">
            <v>89678.66</v>
          </cell>
          <cell r="CG29">
            <v>1132418.2899999998</v>
          </cell>
          <cell r="CH29">
            <v>189865.92</v>
          </cell>
          <cell r="CI29">
            <v>2447632.86</v>
          </cell>
          <cell r="CJ29">
            <v>-2.4267398896500225</v>
          </cell>
          <cell r="CK29">
            <v>279544.58</v>
          </cell>
          <cell r="CL29">
            <v>-34.189675607175403</v>
          </cell>
          <cell r="CM29">
            <v>2727177.44</v>
          </cell>
        </row>
        <row r="30">
          <cell r="AW30" t="str">
            <v>MG</v>
          </cell>
          <cell r="AX30">
            <v>4847553.78</v>
          </cell>
          <cell r="AY30">
            <v>2972097.8</v>
          </cell>
          <cell r="AZ30">
            <v>701022.95</v>
          </cell>
          <cell r="BA30">
            <v>892313.86</v>
          </cell>
          <cell r="BB30">
            <v>288018.03000000003</v>
          </cell>
          <cell r="BC30">
            <v>3864411.6599999997</v>
          </cell>
          <cell r="BD30">
            <v>989040.98</v>
          </cell>
          <cell r="BE30">
            <v>4853452.6399999997</v>
          </cell>
          <cell r="BF30">
            <v>5898.859999999404</v>
          </cell>
          <cell r="BG30">
            <v>0.12168735547271026</v>
          </cell>
          <cell r="BH30">
            <v>505871.71</v>
          </cell>
          <cell r="BI30">
            <v>115355.22</v>
          </cell>
          <cell r="BJ30">
            <v>71874.22</v>
          </cell>
          <cell r="BK30">
            <v>242234.48</v>
          </cell>
          <cell r="BL30">
            <v>63807.839999999997</v>
          </cell>
          <cell r="BM30">
            <v>357589.7</v>
          </cell>
          <cell r="BN30">
            <v>135682.06</v>
          </cell>
          <cell r="BO30">
            <v>493271.76</v>
          </cell>
          <cell r="BP30">
            <v>-12599.950000000012</v>
          </cell>
          <cell r="BQ30">
            <v>-2.4907401918166192</v>
          </cell>
          <cell r="BR30">
            <v>4352960</v>
          </cell>
          <cell r="BS30">
            <v>1711683.5</v>
          </cell>
          <cell r="BT30">
            <v>2695517.98</v>
          </cell>
          <cell r="BU30">
            <v>4407201.4800000004</v>
          </cell>
          <cell r="BV30">
            <v>54241.480000000447</v>
          </cell>
          <cell r="BW30">
            <v>1.2460826655884834</v>
          </cell>
          <cell r="BX30">
            <v>415168.91</v>
          </cell>
          <cell r="BY30">
            <v>258832.48</v>
          </cell>
          <cell r="BZ30">
            <v>208235.03</v>
          </cell>
          <cell r="CA30">
            <v>467067.51</v>
          </cell>
          <cell r="CB30">
            <v>51898.600000000035</v>
          </cell>
          <cell r="CC30">
            <v>12.500598852645309</v>
          </cell>
          <cell r="CD30">
            <v>10121554.4</v>
          </cell>
          <cell r="CE30">
            <v>5057969</v>
          </cell>
          <cell r="CF30">
            <v>772897.16999999993</v>
          </cell>
          <cell r="CG30">
            <v>4038301.35</v>
          </cell>
          <cell r="CH30">
            <v>351825.87</v>
          </cell>
          <cell r="CI30">
            <v>9096270.3499999996</v>
          </cell>
          <cell r="CJ30">
            <v>1.1052668214067722</v>
          </cell>
          <cell r="CK30">
            <v>1124723.04</v>
          </cell>
          <cell r="CL30">
            <v>0</v>
          </cell>
          <cell r="CM30">
            <v>10220993.390000001</v>
          </cell>
        </row>
        <row r="31">
          <cell r="AW31" t="str">
            <v>RJ</v>
          </cell>
          <cell r="AX31">
            <v>5685356.2599999998</v>
          </cell>
          <cell r="AY31">
            <v>2919211.87</v>
          </cell>
          <cell r="AZ31">
            <v>552295.97</v>
          </cell>
          <cell r="BA31">
            <v>1198818.18</v>
          </cell>
          <cell r="BB31">
            <v>806400</v>
          </cell>
          <cell r="BC31">
            <v>4118030.05</v>
          </cell>
          <cell r="BD31">
            <v>1358695.97</v>
          </cell>
          <cell r="BE31">
            <v>5476726.0199999996</v>
          </cell>
          <cell r="BF31">
            <v>-208630.24000000022</v>
          </cell>
          <cell r="BG31">
            <v>-3.6696071531672181</v>
          </cell>
          <cell r="BH31">
            <v>1086640.5</v>
          </cell>
          <cell r="BI31">
            <v>182211.34</v>
          </cell>
          <cell r="BJ31">
            <v>56918.82</v>
          </cell>
          <cell r="BK31">
            <v>394782.63</v>
          </cell>
          <cell r="BL31">
            <v>243600.38</v>
          </cell>
          <cell r="BM31">
            <v>576993.97</v>
          </cell>
          <cell r="BN31">
            <v>300519.2</v>
          </cell>
          <cell r="BO31">
            <v>877513.16999999993</v>
          </cell>
          <cell r="BP31">
            <v>-209127.33000000007</v>
          </cell>
          <cell r="BQ31">
            <v>-19.245309741354209</v>
          </cell>
          <cell r="BR31">
            <v>3900080</v>
          </cell>
          <cell r="BS31">
            <v>1769187.36</v>
          </cell>
          <cell r="BT31">
            <v>2444229.84</v>
          </cell>
          <cell r="BU31">
            <v>4213417.2</v>
          </cell>
          <cell r="BV31">
            <v>313337.20000000019</v>
          </cell>
          <cell r="BW31">
            <v>8.034122376976887</v>
          </cell>
          <cell r="BX31">
            <v>410493.46</v>
          </cell>
          <cell r="BY31">
            <v>241466.45</v>
          </cell>
          <cell r="BZ31">
            <v>222080.69</v>
          </cell>
          <cell r="CA31">
            <v>463547.14</v>
          </cell>
          <cell r="CB31">
            <v>53053.679999999993</v>
          </cell>
          <cell r="CC31">
            <v>12.924366687839555</v>
          </cell>
          <cell r="CD31">
            <v>11082570.220000001</v>
          </cell>
          <cell r="CE31">
            <v>5112077.0200000005</v>
          </cell>
          <cell r="CF31">
            <v>609214.78999999992</v>
          </cell>
          <cell r="CG31">
            <v>4259911.34</v>
          </cell>
          <cell r="CH31">
            <v>1050000.3799999999</v>
          </cell>
          <cell r="CI31">
            <v>9371988.3599999994</v>
          </cell>
          <cell r="CJ31">
            <v>9.9772897318916733</v>
          </cell>
          <cell r="CK31">
            <v>1659215.17</v>
          </cell>
          <cell r="CL31">
            <v>-35.207697325168908</v>
          </cell>
          <cell r="CM31">
            <v>11031203.529999999</v>
          </cell>
        </row>
        <row r="32">
          <cell r="AW32" t="str">
            <v>SP</v>
          </cell>
          <cell r="AX32">
            <v>16067467.060000001</v>
          </cell>
          <cell r="AY32">
            <v>10844141.15</v>
          </cell>
          <cell r="AZ32">
            <v>2220751.41</v>
          </cell>
          <cell r="BA32">
            <v>3618853.82</v>
          </cell>
          <cell r="BB32">
            <v>1234034.23</v>
          </cell>
          <cell r="BC32">
            <v>14462994.970000001</v>
          </cell>
          <cell r="BD32">
            <v>3454785.64</v>
          </cell>
          <cell r="BE32">
            <v>17917780.609999999</v>
          </cell>
          <cell r="BF32">
            <v>1850313.5499999989</v>
          </cell>
          <cell r="BG32">
            <v>11.515900689825337</v>
          </cell>
          <cell r="BH32">
            <v>1927059.02</v>
          </cell>
          <cell r="BI32">
            <v>536629.74</v>
          </cell>
          <cell r="BJ32">
            <v>262016.33</v>
          </cell>
          <cell r="BK32">
            <v>974539.96</v>
          </cell>
          <cell r="BL32">
            <v>171557.17</v>
          </cell>
          <cell r="BM32">
            <v>1511169.7</v>
          </cell>
          <cell r="BN32">
            <v>433573.5</v>
          </cell>
          <cell r="BO32">
            <v>1944743.2</v>
          </cell>
          <cell r="BP32">
            <v>17684.179999999935</v>
          </cell>
          <cell r="BQ32">
            <v>0.91767713476673574</v>
          </cell>
          <cell r="BR32">
            <v>26527520</v>
          </cell>
          <cell r="BS32">
            <v>9456385.6199999992</v>
          </cell>
          <cell r="BT32">
            <v>17362402.739999998</v>
          </cell>
          <cell r="BU32">
            <v>26818788.359999999</v>
          </cell>
          <cell r="BV32">
            <v>291268.3599999994</v>
          </cell>
          <cell r="BW32">
            <v>1.097985639064637</v>
          </cell>
          <cell r="BX32">
            <v>1494122.96</v>
          </cell>
          <cell r="BY32">
            <v>927513.38</v>
          </cell>
          <cell r="BZ32">
            <v>702585.49</v>
          </cell>
          <cell r="CA32">
            <v>1630098.87</v>
          </cell>
          <cell r="CB32">
            <v>135975.91000000015</v>
          </cell>
          <cell r="CC32">
            <v>9.100717520598181</v>
          </cell>
          <cell r="CD32">
            <v>46016169.039999999</v>
          </cell>
          <cell r="CE32">
            <v>21764669.889999997</v>
          </cell>
          <cell r="CF32">
            <v>2482767.7400000002</v>
          </cell>
          <cell r="CG32">
            <v>22658382.009999994</v>
          </cell>
          <cell r="CH32">
            <v>1405591.4</v>
          </cell>
          <cell r="CI32">
            <v>44423051.899999991</v>
          </cell>
          <cell r="CJ32">
            <v>3.8966729894152792</v>
          </cell>
          <cell r="CK32">
            <v>3888359.14</v>
          </cell>
          <cell r="CL32">
            <v>19.303518733178663</v>
          </cell>
          <cell r="CM32">
            <v>48311411.039999992</v>
          </cell>
        </row>
        <row r="33">
          <cell r="AW33" t="str">
            <v>Soma (SE)</v>
          </cell>
          <cell r="AX33">
            <v>28107035.829999998</v>
          </cell>
          <cell r="AY33">
            <v>17522643.380000003</v>
          </cell>
          <cell r="AZ33">
            <v>3553952.64</v>
          </cell>
          <cell r="BA33">
            <v>6006661.9299999997</v>
          </cell>
          <cell r="BB33">
            <v>2492480.4900000002</v>
          </cell>
          <cell r="BC33">
            <v>23529305.310000002</v>
          </cell>
          <cell r="BD33">
            <v>6046433.1300000008</v>
          </cell>
          <cell r="BE33">
            <v>29575738.439999998</v>
          </cell>
          <cell r="BF33">
            <v>1468702.6099999982</v>
          </cell>
          <cell r="BG33">
            <v>5.2253913179716411</v>
          </cell>
          <cell r="BH33">
            <v>3663892.83</v>
          </cell>
          <cell r="BI33">
            <v>862162.19</v>
          </cell>
          <cell r="BJ33">
            <v>400605.72</v>
          </cell>
          <cell r="BK33">
            <v>1685346.69</v>
          </cell>
          <cell r="BL33">
            <v>504803.08000000007</v>
          </cell>
          <cell r="BM33">
            <v>2547508.88</v>
          </cell>
          <cell r="BN33">
            <v>905408.8</v>
          </cell>
          <cell r="BO33">
            <v>3452917.6799999997</v>
          </cell>
          <cell r="BP33">
            <v>-210975.15000000017</v>
          </cell>
          <cell r="BQ33">
            <v>-5.7582238288339935</v>
          </cell>
          <cell r="BR33">
            <v>35951600</v>
          </cell>
          <cell r="BS33">
            <v>13393526.919999998</v>
          </cell>
          <cell r="BT33">
            <v>23210153</v>
          </cell>
          <cell r="BU33">
            <v>36603679.920000002</v>
          </cell>
          <cell r="BV33">
            <v>652079.91999999993</v>
          </cell>
          <cell r="BW33">
            <v>1.8137716262975774</v>
          </cell>
          <cell r="BX33">
            <v>2431045.9699999997</v>
          </cell>
          <cell r="BY33">
            <v>1471597.9900000002</v>
          </cell>
          <cell r="BZ33">
            <v>1186851.3700000001</v>
          </cell>
          <cell r="CA33">
            <v>2658449.3600000003</v>
          </cell>
          <cell r="CB33">
            <v>227403.39000000019</v>
          </cell>
          <cell r="CC33">
            <v>9.3541377993769572</v>
          </cell>
          <cell r="CD33">
            <v>70153574.629999995</v>
          </cell>
          <cell r="CE33">
            <v>33249930.479999997</v>
          </cell>
          <cell r="CF33">
            <v>3954558.3600000003</v>
          </cell>
          <cell r="CG33">
            <v>32089012.989999995</v>
          </cell>
          <cell r="CH33">
            <v>2997283.57</v>
          </cell>
          <cell r="CI33">
            <v>65338943.469999991</v>
          </cell>
          <cell r="CJ33">
            <v>4.0693497872885445</v>
          </cell>
          <cell r="CK33">
            <v>6951841.9299999997</v>
          </cell>
          <cell r="CL33">
            <v>-5.6678144723209272</v>
          </cell>
          <cell r="CM33">
            <v>72290785.399999991</v>
          </cell>
        </row>
        <row r="34">
          <cell r="AW34" t="str">
            <v>PR</v>
          </cell>
          <cell r="AX34">
            <v>3792339.02</v>
          </cell>
          <cell r="AY34">
            <v>2375420.42</v>
          </cell>
          <cell r="AZ34">
            <v>468621.63</v>
          </cell>
          <cell r="BA34">
            <v>919741.54</v>
          </cell>
          <cell r="BB34">
            <v>128532.99</v>
          </cell>
          <cell r="BC34">
            <v>3295161.96</v>
          </cell>
          <cell r="BD34">
            <v>597154.62</v>
          </cell>
          <cell r="BE34">
            <v>3892316.58</v>
          </cell>
          <cell r="BF34">
            <v>99977.560000000056</v>
          </cell>
          <cell r="BG34">
            <v>2.6363033334503951</v>
          </cell>
          <cell r="BH34">
            <v>561579.32999999996</v>
          </cell>
          <cell r="BI34">
            <v>138005.64000000001</v>
          </cell>
          <cell r="BJ34">
            <v>94448.06</v>
          </cell>
          <cell r="BK34">
            <v>321409.12</v>
          </cell>
          <cell r="BL34">
            <v>41672.92</v>
          </cell>
          <cell r="BM34">
            <v>459414.76</v>
          </cell>
          <cell r="BN34">
            <v>136120.97999999998</v>
          </cell>
          <cell r="BO34">
            <v>595535.74</v>
          </cell>
          <cell r="BP34">
            <v>33956.410000000033</v>
          </cell>
          <cell r="BQ34">
            <v>6.0465918501665712</v>
          </cell>
          <cell r="BR34">
            <v>6012560</v>
          </cell>
          <cell r="BS34">
            <v>2274064.85</v>
          </cell>
          <cell r="BT34">
            <v>3908852.59</v>
          </cell>
          <cell r="BU34">
            <v>6182917.4399999995</v>
          </cell>
          <cell r="BV34">
            <v>170357.43999999948</v>
          </cell>
          <cell r="BW34">
            <v>2.8333595007783621</v>
          </cell>
          <cell r="BX34">
            <v>466491.53</v>
          </cell>
          <cell r="BY34">
            <v>191911.6</v>
          </cell>
          <cell r="BZ34">
            <v>206000.13</v>
          </cell>
          <cell r="CA34">
            <v>397911.73</v>
          </cell>
          <cell r="CB34">
            <v>-68579.800000000047</v>
          </cell>
          <cell r="CC34">
            <v>-14.701188679674429</v>
          </cell>
          <cell r="CD34">
            <v>10832969.879999999</v>
          </cell>
          <cell r="CE34">
            <v>4979402.51</v>
          </cell>
          <cell r="CF34">
            <v>563069.68999999994</v>
          </cell>
          <cell r="CG34">
            <v>5356003.38</v>
          </cell>
          <cell r="CH34">
            <v>170205.91</v>
          </cell>
          <cell r="CI34">
            <v>10335405.890000001</v>
          </cell>
          <cell r="CJ34">
            <v>5.0798137077777028E-2</v>
          </cell>
          <cell r="CK34">
            <v>733275.6</v>
          </cell>
          <cell r="CL34">
            <v>45.835082762859827</v>
          </cell>
          <cell r="CM34">
            <v>11068681.49</v>
          </cell>
        </row>
        <row r="35">
          <cell r="AW35" t="str">
            <v>RS</v>
          </cell>
          <cell r="AX35">
            <v>4897688.87</v>
          </cell>
          <cell r="AY35">
            <v>2854135.21</v>
          </cell>
          <cell r="AZ35">
            <v>604842.26</v>
          </cell>
          <cell r="BA35">
            <v>1280872.6599999999</v>
          </cell>
          <cell r="BB35">
            <v>69839.83</v>
          </cell>
          <cell r="BC35">
            <v>4135007.87</v>
          </cell>
          <cell r="BD35">
            <v>674682.09</v>
          </cell>
          <cell r="BE35">
            <v>4809689.96</v>
          </cell>
          <cell r="BF35">
            <v>-87998.910000000149</v>
          </cell>
          <cell r="BG35">
            <v>-1.7967435730559207</v>
          </cell>
          <cell r="BH35">
            <v>725330.58</v>
          </cell>
          <cell r="BI35">
            <v>120059.79</v>
          </cell>
          <cell r="BJ35">
            <v>74977.789999999994</v>
          </cell>
          <cell r="BK35">
            <v>395040.94</v>
          </cell>
          <cell r="BL35">
            <v>126287.74</v>
          </cell>
          <cell r="BM35">
            <v>515100.73</v>
          </cell>
          <cell r="BN35">
            <v>201265.53</v>
          </cell>
          <cell r="BO35">
            <v>716366.26</v>
          </cell>
          <cell r="BP35">
            <v>-8964.3199999999488</v>
          </cell>
          <cell r="BQ35">
            <v>-1.2358943972829532</v>
          </cell>
          <cell r="BR35">
            <v>7130800</v>
          </cell>
          <cell r="BS35">
            <v>2637887.5</v>
          </cell>
          <cell r="BT35">
            <v>4710086.42</v>
          </cell>
          <cell r="BU35">
            <v>7347973.9199999999</v>
          </cell>
          <cell r="BV35">
            <v>217173.91999999993</v>
          </cell>
          <cell r="BW35">
            <v>3.0455758119706053</v>
          </cell>
          <cell r="BX35">
            <v>558313.62</v>
          </cell>
          <cell r="BY35">
            <v>218234.79</v>
          </cell>
          <cell r="BZ35">
            <v>255440</v>
          </cell>
          <cell r="CA35">
            <v>473674.79000000004</v>
          </cell>
          <cell r="CB35">
            <v>-84638.829999999958</v>
          </cell>
          <cell r="CC35">
            <v>-15.159728684390675</v>
          </cell>
          <cell r="CD35">
            <v>13312133.069999998</v>
          </cell>
          <cell r="CE35">
            <v>5830317.29</v>
          </cell>
          <cell r="CF35">
            <v>679820.05</v>
          </cell>
          <cell r="CG35">
            <v>6641440.0199999996</v>
          </cell>
          <cell r="CH35">
            <v>196127.57</v>
          </cell>
          <cell r="CI35">
            <v>12471757.309999999</v>
          </cell>
          <cell r="CJ35">
            <v>1.7095250130555968</v>
          </cell>
          <cell r="CK35">
            <v>875947.62000000011</v>
          </cell>
          <cell r="CL35">
            <v>-16.576416761904753</v>
          </cell>
          <cell r="CM35">
            <v>13347704.93</v>
          </cell>
        </row>
        <row r="36">
          <cell r="AW36" t="str">
            <v>SC</v>
          </cell>
          <cell r="AX36">
            <v>3292997.37</v>
          </cell>
          <cell r="AY36">
            <v>2033104.96</v>
          </cell>
          <cell r="AZ36">
            <v>337787.99</v>
          </cell>
          <cell r="BA36">
            <v>762718.07</v>
          </cell>
          <cell r="BB36">
            <v>193502.59</v>
          </cell>
          <cell r="BC36">
            <v>2795823.03</v>
          </cell>
          <cell r="BD36">
            <v>531290.57999999996</v>
          </cell>
          <cell r="BE36">
            <v>3327113.61</v>
          </cell>
          <cell r="BF36">
            <v>34116.239999999758</v>
          </cell>
          <cell r="BG36">
            <v>1.0360239066938508</v>
          </cell>
          <cell r="BH36">
            <v>416386.99</v>
          </cell>
          <cell r="BI36">
            <v>80189.7</v>
          </cell>
          <cell r="BJ36">
            <v>38170</v>
          </cell>
          <cell r="BK36">
            <v>271054.08000000002</v>
          </cell>
          <cell r="BL36">
            <v>54813.78</v>
          </cell>
          <cell r="BM36">
            <v>351243.78</v>
          </cell>
          <cell r="BN36">
            <v>92983.78</v>
          </cell>
          <cell r="BO36">
            <v>444227.56000000006</v>
          </cell>
          <cell r="BP36">
            <v>27840.570000000065</v>
          </cell>
          <cell r="BQ36">
            <v>6.6862247545246474</v>
          </cell>
          <cell r="BR36">
            <v>4700320</v>
          </cell>
          <cell r="BS36">
            <v>1796967.45</v>
          </cell>
          <cell r="BT36">
            <v>2920226.19</v>
          </cell>
          <cell r="BU36">
            <v>4717193.6399999997</v>
          </cell>
          <cell r="BV36">
            <v>16873.639999999665</v>
          </cell>
          <cell r="BW36">
            <v>0.35898917520508528</v>
          </cell>
          <cell r="BX36">
            <v>294339.65999999997</v>
          </cell>
          <cell r="BY36">
            <v>144250.07</v>
          </cell>
          <cell r="BZ36">
            <v>118619.95</v>
          </cell>
          <cell r="CA36">
            <v>262870.02</v>
          </cell>
          <cell r="CB36">
            <v>-31469.639999999956</v>
          </cell>
          <cell r="CC36">
            <v>-10.691607104526776</v>
          </cell>
          <cell r="CD36">
            <v>8704044.0199999996</v>
          </cell>
          <cell r="CE36">
            <v>4054512.18</v>
          </cell>
          <cell r="CF36">
            <v>375957.99</v>
          </cell>
          <cell r="CG36">
            <v>4072618.29</v>
          </cell>
          <cell r="CH36">
            <v>248316.37</v>
          </cell>
          <cell r="CI36">
            <v>8127130.4700000007</v>
          </cell>
          <cell r="CJ36">
            <v>-1.8332114156905561</v>
          </cell>
          <cell r="CK36">
            <v>624274.36</v>
          </cell>
          <cell r="CL36">
            <v>46.838403382573148</v>
          </cell>
          <cell r="CM36">
            <v>8751404.8300000001</v>
          </cell>
        </row>
        <row r="37">
          <cell r="AW37" t="str">
            <v>Soma (S)</v>
          </cell>
          <cell r="AX37">
            <v>11983025.260000002</v>
          </cell>
          <cell r="AY37">
            <v>7262660.5899999999</v>
          </cell>
          <cell r="AZ37">
            <v>1411251.8800000001</v>
          </cell>
          <cell r="BA37">
            <v>2963332.27</v>
          </cell>
          <cell r="BB37">
            <v>391875.41000000003</v>
          </cell>
          <cell r="BC37">
            <v>10225992.859999999</v>
          </cell>
          <cell r="BD37">
            <v>1803127.29</v>
          </cell>
          <cell r="BE37">
            <v>12029120.149999999</v>
          </cell>
          <cell r="BF37">
            <v>46094.889999999665</v>
          </cell>
          <cell r="BG37">
            <v>0.38466822025208397</v>
          </cell>
          <cell r="BH37">
            <v>1703296.9</v>
          </cell>
          <cell r="BI37">
            <v>338255.13</v>
          </cell>
          <cell r="BJ37">
            <v>207595.84999999998</v>
          </cell>
          <cell r="BK37">
            <v>987504.14000000013</v>
          </cell>
          <cell r="BL37">
            <v>222774.44</v>
          </cell>
          <cell r="BM37">
            <v>1325759.27</v>
          </cell>
          <cell r="BN37">
            <v>430370.29000000004</v>
          </cell>
          <cell r="BO37">
            <v>1756129.56</v>
          </cell>
          <cell r="BP37">
            <v>52832.660000000149</v>
          </cell>
          <cell r="BQ37">
            <v>3.1017880675999674</v>
          </cell>
          <cell r="BR37">
            <v>17843680</v>
          </cell>
          <cell r="BS37">
            <v>6708919.7999999998</v>
          </cell>
          <cell r="BT37">
            <v>11539165.199999999</v>
          </cell>
          <cell r="BU37">
            <v>18248085</v>
          </cell>
          <cell r="BV37">
            <v>404404.99999999907</v>
          </cell>
          <cell r="BW37">
            <v>2.2663766666965506</v>
          </cell>
          <cell r="BX37">
            <v>1319144.81</v>
          </cell>
          <cell r="BY37">
            <v>554396.46</v>
          </cell>
          <cell r="BZ37">
            <v>580060.07999999996</v>
          </cell>
          <cell r="CA37">
            <v>1134456.54</v>
          </cell>
          <cell r="CB37">
            <v>-184688.26999999996</v>
          </cell>
          <cell r="CC37">
            <v>-14.000606195767084</v>
          </cell>
          <cell r="CD37">
            <v>32849146.969999995</v>
          </cell>
          <cell r="CE37">
            <v>14864231.98</v>
          </cell>
          <cell r="CF37">
            <v>1618847.73</v>
          </cell>
          <cell r="CG37">
            <v>16070061.689999998</v>
          </cell>
          <cell r="CH37">
            <v>614649.85</v>
          </cell>
          <cell r="CI37">
            <v>30934293.670000002</v>
          </cell>
          <cell r="CJ37">
            <v>0.20440421192515146</v>
          </cell>
          <cell r="CK37">
            <v>2233497.58</v>
          </cell>
          <cell r="CL37">
            <v>12.919516855741648</v>
          </cell>
          <cell r="CM37">
            <v>33167791.25</v>
          </cell>
        </row>
        <row r="38">
          <cell r="AW38" t="str">
            <v>TOTAL</v>
          </cell>
          <cell r="AX38">
            <v>54660347.180000007</v>
          </cell>
          <cell r="AY38">
            <v>33159267.610000003</v>
          </cell>
          <cell r="AZ38">
            <v>7175445.3300000001</v>
          </cell>
          <cell r="BA38">
            <v>12618561.379999999</v>
          </cell>
          <cell r="BB38">
            <v>3990523.99</v>
          </cell>
          <cell r="BC38">
            <v>45777828.990000002</v>
          </cell>
          <cell r="BD38">
            <v>11165969.32</v>
          </cell>
          <cell r="BE38">
            <v>56943798.309999995</v>
          </cell>
          <cell r="BF38">
            <v>2283451.129999998</v>
          </cell>
          <cell r="BG38">
            <v>4.1775276737274423</v>
          </cell>
          <cell r="BH38">
            <v>7073375.9700000007</v>
          </cell>
          <cell r="BI38">
            <v>1536465.38</v>
          </cell>
          <cell r="BJ38">
            <v>832608.27999999991</v>
          </cell>
          <cell r="BK38">
            <v>3524633.68</v>
          </cell>
          <cell r="BL38">
            <v>1135733.3600000001</v>
          </cell>
          <cell r="BM38">
            <v>5061099.0600000005</v>
          </cell>
          <cell r="BN38">
            <v>1968341.6400000001</v>
          </cell>
          <cell r="BO38">
            <v>7029440.6999999993</v>
          </cell>
          <cell r="BP38">
            <v>-43935.270000000048</v>
          </cell>
          <cell r="BQ38">
            <v>-0.62113579408673858</v>
          </cell>
          <cell r="BR38">
            <v>71263200</v>
          </cell>
          <cell r="BS38">
            <v>27379157.029999997</v>
          </cell>
          <cell r="BT38">
            <v>45522990.609999999</v>
          </cell>
          <cell r="BU38">
            <v>72902147.640000001</v>
          </cell>
          <cell r="BV38">
            <v>1638947.6399999997</v>
          </cell>
          <cell r="BW38">
            <v>2.2998513117569792</v>
          </cell>
          <cell r="BX38">
            <v>5181884</v>
          </cell>
          <cell r="BY38">
            <v>2827110.4000000004</v>
          </cell>
          <cell r="BZ38">
            <v>2465545.4700000002</v>
          </cell>
          <cell r="CA38">
            <v>5292655.870000001</v>
          </cell>
          <cell r="CB38">
            <v>110771.87000000023</v>
          </cell>
          <cell r="CC38">
            <v>2.1376756021555141</v>
          </cell>
          <cell r="CD38">
            <v>138178807.14999998</v>
          </cell>
          <cell r="CE38">
            <v>64902000.420000002</v>
          </cell>
          <cell r="CF38">
            <v>8008053.6100000013</v>
          </cell>
          <cell r="CG38">
            <v>64131731.139999993</v>
          </cell>
          <cell r="CH38">
            <v>5126257.3499999996</v>
          </cell>
          <cell r="CI38">
            <v>129033731.55999999</v>
          </cell>
          <cell r="CJ38">
            <v>2.5750037777989832</v>
          </cell>
          <cell r="CK38">
            <v>13134310.959999999</v>
          </cell>
          <cell r="CL38">
            <v>6.0562365987141078</v>
          </cell>
          <cell r="CM38">
            <v>142168042.51999998</v>
          </cell>
        </row>
      </sheetData>
      <sheetData sheetId="11"/>
      <sheetData sheetId="12"/>
      <sheetData sheetId="13"/>
      <sheetData sheetId="14"/>
      <sheetData sheetId="15"/>
      <sheetData sheetId="16"/>
      <sheetData sheetId="17"/>
      <sheetData sheetId="18">
        <row r="4">
          <cell r="A4" t="str">
            <v>SP</v>
          </cell>
          <cell r="B4">
            <v>46905819.635999992</v>
          </cell>
          <cell r="C4">
            <v>1038741.6039739642</v>
          </cell>
        </row>
        <row r="5">
          <cell r="A5" t="str">
            <v>RS</v>
          </cell>
          <cell r="B5">
            <v>13151577.365999999</v>
          </cell>
          <cell r="C5">
            <v>291245.10932672629</v>
          </cell>
        </row>
        <row r="6">
          <cell r="A6" t="str">
            <v>PR</v>
          </cell>
          <cell r="B6">
            <v>10898475.586000001</v>
          </cell>
          <cell r="C6">
            <v>241349.58303519653</v>
          </cell>
        </row>
        <row r="7">
          <cell r="A7" t="str">
            <v>RJ</v>
          </cell>
          <cell r="B7">
            <v>9981203.1519999988</v>
          </cell>
          <cell r="C7">
            <v>221036.3458554972</v>
          </cell>
        </row>
        <row r="8">
          <cell r="A8" t="str">
            <v>MG</v>
          </cell>
          <cell r="B8">
            <v>9801572.5276000053</v>
          </cell>
          <cell r="C8">
            <v>217058.37884926912</v>
          </cell>
        </row>
        <row r="9">
          <cell r="A9" t="str">
            <v>SC</v>
          </cell>
          <cell r="B9">
            <v>8503088.4620000012</v>
          </cell>
          <cell r="C9">
            <v>188303.1107076419</v>
          </cell>
        </row>
        <row r="10">
          <cell r="A10" t="str">
            <v>GO</v>
          </cell>
          <cell r="B10">
            <v>3951918.3059999999</v>
          </cell>
          <cell r="C10">
            <v>87516.261133574284</v>
          </cell>
        </row>
        <row r="11">
          <cell r="A11" t="str">
            <v>MT</v>
          </cell>
          <cell r="B11">
            <v>3823404.6639999999</v>
          </cell>
          <cell r="C11">
            <v>84670.293028559856</v>
          </cell>
        </row>
        <row r="12">
          <cell r="A12" t="str">
            <v>DF</v>
          </cell>
          <cell r="B12">
            <v>3409370.4939999995</v>
          </cell>
          <cell r="C12">
            <v>75501.39839707686</v>
          </cell>
        </row>
        <row r="13">
          <cell r="A13" t="str">
            <v>BA</v>
          </cell>
          <cell r="B13">
            <v>3291358.2800000003</v>
          </cell>
          <cell r="C13">
            <v>72887.98715279717</v>
          </cell>
        </row>
        <row r="14">
          <cell r="A14" t="str">
            <v>PE</v>
          </cell>
          <cell r="B14">
            <v>3063499.3804000006</v>
          </cell>
          <cell r="C14">
            <v>67841.992419372007</v>
          </cell>
        </row>
        <row r="15">
          <cell r="A15" t="str">
            <v>MS</v>
          </cell>
          <cell r="B15">
            <v>2797029.0199999996</v>
          </cell>
          <cell r="C15">
            <v>61940.936820697869</v>
          </cell>
        </row>
        <row r="16">
          <cell r="A16" t="str">
            <v>ES</v>
          </cell>
          <cell r="B16">
            <v>2537311.5239999997</v>
          </cell>
          <cell r="C16">
            <v>56189.425164602915</v>
          </cell>
        </row>
        <row r="17">
          <cell r="A17" t="str">
            <v>CE</v>
          </cell>
          <cell r="B17">
            <v>2019396.6740000001</v>
          </cell>
          <cell r="C17">
            <v>44720.065793297144</v>
          </cell>
        </row>
        <row r="18">
          <cell r="A18" t="str">
            <v>PB</v>
          </cell>
          <cell r="B18">
            <v>1596142.808</v>
          </cell>
          <cell r="C18">
            <v>35346.998590361174</v>
          </cell>
        </row>
        <row r="19">
          <cell r="A19" t="str">
            <v>RN</v>
          </cell>
          <cell r="B19">
            <v>1586167.148</v>
          </cell>
          <cell r="C19">
            <v>35126.084999051796</v>
          </cell>
        </row>
        <row r="20">
          <cell r="A20" t="str">
            <v>PA</v>
          </cell>
          <cell r="B20">
            <v>1381727.1580000001</v>
          </cell>
          <cell r="C20">
            <v>30598.708123922301</v>
          </cell>
        </row>
        <row r="21">
          <cell r="A21" t="str">
            <v>RO</v>
          </cell>
          <cell r="B21">
            <v>1263122.0419999999</v>
          </cell>
          <cell r="C21">
            <v>27972.166910285716</v>
          </cell>
        </row>
        <row r="22">
          <cell r="A22" t="str">
            <v>AL</v>
          </cell>
          <cell r="B22">
            <v>1221961.8339999998</v>
          </cell>
          <cell r="C22">
            <v>27060.663373845902</v>
          </cell>
        </row>
        <row r="23">
          <cell r="A23" t="str">
            <v>AM</v>
          </cell>
          <cell r="B23">
            <v>1070726.956</v>
          </cell>
          <cell r="C23">
            <v>23711.527574288149</v>
          </cell>
        </row>
        <row r="24">
          <cell r="A24" t="str">
            <v>SE</v>
          </cell>
          <cell r="B24">
            <v>1017854.8560000001</v>
          </cell>
          <cell r="C24">
            <v>22540.661136271137</v>
          </cell>
        </row>
        <row r="25">
          <cell r="A25" t="str">
            <v>MA</v>
          </cell>
          <cell r="B25">
            <v>972371.32600000012</v>
          </cell>
          <cell r="C25">
            <v>21533.416507070859</v>
          </cell>
        </row>
        <row r="26">
          <cell r="A26" t="str">
            <v>PI</v>
          </cell>
          <cell r="B26">
            <v>843105.55520000018</v>
          </cell>
          <cell r="C26">
            <v>18670.792313703852</v>
          </cell>
        </row>
        <row r="27">
          <cell r="A27" t="str">
            <v>TO</v>
          </cell>
          <cell r="B27">
            <v>711851.51600000006</v>
          </cell>
          <cell r="C27">
            <v>15764.137398286275</v>
          </cell>
        </row>
        <row r="28">
          <cell r="A28" t="str">
            <v>AP</v>
          </cell>
          <cell r="B28">
            <v>492455.39400000003</v>
          </cell>
          <cell r="C28">
            <v>10905.553081020906</v>
          </cell>
        </row>
        <row r="29">
          <cell r="A29" t="str">
            <v>AC</v>
          </cell>
          <cell r="B29">
            <v>401276.46400000004</v>
          </cell>
          <cell r="C29">
            <v>8886.3719062368</v>
          </cell>
        </row>
        <row r="30">
          <cell r="A30" t="str">
            <v>RR</v>
          </cell>
          <cell r="B30">
            <v>169645.41400000002</v>
          </cell>
          <cell r="C30">
            <v>3756.8419188211128</v>
          </cell>
        </row>
        <row r="31">
          <cell r="A31" t="str">
            <v>Soma CAU/UF</v>
          </cell>
          <cell r="B31">
            <v>136863433.54319999</v>
          </cell>
          <cell r="C31">
            <v>3030876.4154914394</v>
          </cell>
        </row>
        <row r="32">
          <cell r="A32" t="str">
            <v xml:space="preserve"> CAU/BR </v>
          </cell>
          <cell r="B32">
            <v>34438798.086800009</v>
          </cell>
          <cell r="C32">
            <v>762656.16167087539</v>
          </cell>
        </row>
        <row r="33">
          <cell r="A33" t="str">
            <v>TOTAL</v>
          </cell>
          <cell r="B33">
            <v>171302231.63</v>
          </cell>
          <cell r="C33">
            <v>3793532.5771623147</v>
          </cell>
        </row>
      </sheetData>
      <sheetData sheetId="19">
        <row r="4">
          <cell r="A4" t="str">
            <v>RR</v>
          </cell>
          <cell r="B4">
            <v>169645.41400000002</v>
          </cell>
          <cell r="C4">
            <v>1079376</v>
          </cell>
          <cell r="D4">
            <v>909730.58600000001</v>
          </cell>
          <cell r="E4">
            <v>13392.630000000001</v>
          </cell>
          <cell r="F4">
            <v>923123.21600000001</v>
          </cell>
          <cell r="G4">
            <v>13240</v>
          </cell>
          <cell r="H4">
            <v>936363.21600000001</v>
          </cell>
        </row>
        <row r="5">
          <cell r="A5" t="str">
            <v>AC</v>
          </cell>
          <cell r="B5">
            <v>401276.46400000004</v>
          </cell>
          <cell r="C5">
            <v>1079376</v>
          </cell>
          <cell r="D5">
            <v>678099.53599999996</v>
          </cell>
          <cell r="E5">
            <v>31558.770000000004</v>
          </cell>
          <cell r="F5">
            <v>709658.30599999998</v>
          </cell>
          <cell r="G5">
            <v>15440</v>
          </cell>
          <cell r="H5">
            <v>725098.30599999998</v>
          </cell>
        </row>
        <row r="6">
          <cell r="A6" t="str">
            <v>AP</v>
          </cell>
          <cell r="B6">
            <v>492455.39400000003</v>
          </cell>
          <cell r="C6">
            <v>1079376</v>
          </cell>
          <cell r="D6">
            <v>586920.60599999991</v>
          </cell>
          <cell r="E6">
            <v>38578.75</v>
          </cell>
          <cell r="F6">
            <v>625499.35599999991</v>
          </cell>
          <cell r="G6">
            <v>14440</v>
          </cell>
          <cell r="H6">
            <v>639939.35599999991</v>
          </cell>
        </row>
        <row r="7">
          <cell r="A7" t="str">
            <v>TO</v>
          </cell>
          <cell r="B7">
            <v>711851.51600000006</v>
          </cell>
          <cell r="C7">
            <v>1079376</v>
          </cell>
          <cell r="D7">
            <v>367524.48399999994</v>
          </cell>
          <cell r="E7">
            <v>56096</v>
          </cell>
          <cell r="F7">
            <v>423620.48399999994</v>
          </cell>
          <cell r="G7">
            <v>10840</v>
          </cell>
          <cell r="H7">
            <v>434460.48399999994</v>
          </cell>
        </row>
        <row r="8">
          <cell r="A8" t="str">
            <v>MA</v>
          </cell>
          <cell r="B8">
            <v>972371.32600000012</v>
          </cell>
          <cell r="C8">
            <v>1124350</v>
          </cell>
          <cell r="D8">
            <v>151978.67399999988</v>
          </cell>
          <cell r="E8">
            <v>76277.210000000006</v>
          </cell>
          <cell r="F8">
            <v>228255.8839999999</v>
          </cell>
          <cell r="G8">
            <v>14440</v>
          </cell>
          <cell r="H8">
            <v>242695.8839999999</v>
          </cell>
        </row>
        <row r="9">
          <cell r="A9" t="str">
            <v>PI</v>
          </cell>
          <cell r="B9">
            <v>843105.55520000018</v>
          </cell>
          <cell r="C9">
            <v>1124350</v>
          </cell>
          <cell r="D9">
            <v>281244.44479999982</v>
          </cell>
          <cell r="E9">
            <v>66044.679999999993</v>
          </cell>
          <cell r="F9">
            <v>347289.12479999982</v>
          </cell>
          <cell r="G9">
            <v>13240</v>
          </cell>
          <cell r="H9">
            <v>360529.12479999982</v>
          </cell>
        </row>
        <row r="10">
          <cell r="A10" t="str">
            <v>SE</v>
          </cell>
          <cell r="B10">
            <v>1017854.8560000001</v>
          </cell>
          <cell r="C10">
            <v>1124350</v>
          </cell>
          <cell r="D10">
            <v>106495.14399999985</v>
          </cell>
          <cell r="E10">
            <v>80084.210000000006</v>
          </cell>
          <cell r="F10">
            <v>186579.35399999988</v>
          </cell>
          <cell r="G10">
            <v>10440</v>
          </cell>
          <cell r="H10">
            <v>197019.35399999988</v>
          </cell>
        </row>
        <row r="11">
          <cell r="A11" t="str">
            <v>AM</v>
          </cell>
          <cell r="B11">
            <v>1070726.956</v>
          </cell>
          <cell r="C11">
            <v>1124350</v>
          </cell>
          <cell r="D11">
            <v>53623.043999999994</v>
          </cell>
          <cell r="E11">
            <v>83885.97</v>
          </cell>
          <cell r="F11">
            <v>137509.014</v>
          </cell>
          <cell r="G11">
            <v>16040</v>
          </cell>
          <cell r="H11">
            <v>153549.014</v>
          </cell>
        </row>
        <row r="12">
          <cell r="A12" t="str">
            <v>Total</v>
          </cell>
          <cell r="B12">
            <v>5679287.4812000003</v>
          </cell>
          <cell r="C12">
            <v>8814904</v>
          </cell>
          <cell r="D12">
            <v>3135616.5187999997</v>
          </cell>
          <cell r="E12">
            <v>445918.22000000009</v>
          </cell>
          <cell r="F12">
            <v>3581534.7387999995</v>
          </cell>
          <cell r="G12">
            <v>108120</v>
          </cell>
          <cell r="H12">
            <v>3689654.7387999995</v>
          </cell>
        </row>
        <row r="13">
          <cell r="A13" t="str">
            <v>Gestão do Fundo de Apoio (10%)³</v>
          </cell>
          <cell r="B13">
            <v>0</v>
          </cell>
          <cell r="C13">
            <v>0</v>
          </cell>
          <cell r="D13">
            <v>205441.65187999996</v>
          </cell>
          <cell r="E13">
            <v>0</v>
          </cell>
          <cell r="F13">
            <v>0</v>
          </cell>
          <cell r="G13">
            <v>0</v>
          </cell>
          <cell r="H13">
            <v>205441.65187999996</v>
          </cell>
        </row>
        <row r="14">
          <cell r="A14" t="str">
            <v>Total 1</v>
          </cell>
          <cell r="B14">
            <v>0</v>
          </cell>
          <cell r="C14">
            <v>0</v>
          </cell>
          <cell r="D14">
            <v>0</v>
          </cell>
          <cell r="E14">
            <v>0</v>
          </cell>
          <cell r="F14">
            <v>3581534.7387999995</v>
          </cell>
          <cell r="G14">
            <v>108120</v>
          </cell>
          <cell r="H14">
            <v>3895096.3906799993</v>
          </cell>
        </row>
        <row r="15">
          <cell r="A15" t="str">
            <v>AL</v>
          </cell>
          <cell r="B15">
            <v>0</v>
          </cell>
          <cell r="C15">
            <v>0</v>
          </cell>
          <cell r="D15">
            <v>64257.419637480984</v>
          </cell>
          <cell r="E15">
            <v>95965.420000000013</v>
          </cell>
          <cell r="F15">
            <v>160222.839637481</v>
          </cell>
          <cell r="G15">
            <v>3410</v>
          </cell>
          <cell r="H15">
            <v>163632.839637481</v>
          </cell>
        </row>
        <row r="16">
          <cell r="A16" t="str">
            <v>RO</v>
          </cell>
          <cell r="B16">
            <v>0</v>
          </cell>
          <cell r="C16">
            <v>0</v>
          </cell>
          <cell r="D16">
            <v>0</v>
          </cell>
          <cell r="E16">
            <v>99187.26</v>
          </cell>
          <cell r="F16">
            <v>27906.17835331415</v>
          </cell>
          <cell r="G16">
            <v>3410</v>
          </cell>
          <cell r="H16">
            <v>31316.17835331415</v>
          </cell>
        </row>
        <row r="17">
          <cell r="A17" t="str">
            <v>Total 2</v>
          </cell>
          <cell r="B17">
            <v>5679287.4812000003</v>
          </cell>
          <cell r="C17">
            <v>8814904</v>
          </cell>
          <cell r="D17">
            <v>3199873.9384374805</v>
          </cell>
          <cell r="E17">
            <v>641070.90000000014</v>
          </cell>
          <cell r="F17">
            <v>3769663.7567907949</v>
          </cell>
          <cell r="G17">
            <v>114940</v>
          </cell>
          <cell r="H17">
            <v>4090045.4086707947</v>
          </cell>
        </row>
      </sheetData>
      <sheetData sheetId="20"/>
      <sheetData sheetId="21"/>
      <sheetData sheetId="22"/>
      <sheetData sheetId="23">
        <row r="3">
          <cell r="A3" t="str">
            <v>AC</v>
          </cell>
          <cell r="B3">
            <v>23316.889321437418</v>
          </cell>
          <cell r="C3">
            <v>162.08000000000001</v>
          </cell>
          <cell r="D3">
            <v>27551.08</v>
          </cell>
          <cell r="E3">
            <v>3845.61</v>
          </cell>
          <cell r="F3">
            <v>31558.770000000004</v>
          </cell>
        </row>
        <row r="4">
          <cell r="A4" t="str">
            <v>AM</v>
          </cell>
          <cell r="B4">
            <v>63333.893902357253</v>
          </cell>
          <cell r="C4">
            <v>110.1</v>
          </cell>
          <cell r="D4">
            <v>73514.62</v>
          </cell>
          <cell r="E4">
            <v>10261.25</v>
          </cell>
          <cell r="F4">
            <v>83885.97</v>
          </cell>
        </row>
        <row r="5">
          <cell r="A5" t="str">
            <v>AP</v>
          </cell>
          <cell r="B5">
            <v>26359.912942244155</v>
          </cell>
          <cell r="C5">
            <v>48.03</v>
          </cell>
          <cell r="D5">
            <v>33811.300000000003</v>
          </cell>
          <cell r="E5">
            <v>4719.42</v>
          </cell>
          <cell r="F5">
            <v>38578.75</v>
          </cell>
        </row>
        <row r="6">
          <cell r="A6" t="str">
            <v>PA</v>
          </cell>
          <cell r="B6">
            <v>95268.602433849883</v>
          </cell>
          <cell r="C6">
            <v>317.37</v>
          </cell>
          <cell r="D6">
            <v>94867.46</v>
          </cell>
          <cell r="E6">
            <v>13241.7</v>
          </cell>
          <cell r="F6">
            <v>108426.53</v>
          </cell>
        </row>
        <row r="7">
          <cell r="A7" t="str">
            <v>RO</v>
          </cell>
          <cell r="B7">
            <v>63034.727163531039</v>
          </cell>
          <cell r="C7">
            <v>358.01</v>
          </cell>
          <cell r="D7">
            <v>86724.19</v>
          </cell>
          <cell r="E7">
            <v>12105.06</v>
          </cell>
          <cell r="F7">
            <v>99187.26</v>
          </cell>
        </row>
        <row r="8">
          <cell r="A8" t="str">
            <v>RR</v>
          </cell>
          <cell r="B8">
            <v>10605.969976379152</v>
          </cell>
          <cell r="C8">
            <v>119.22</v>
          </cell>
          <cell r="D8">
            <v>11647.62</v>
          </cell>
          <cell r="E8">
            <v>1625.79</v>
          </cell>
          <cell r="F8">
            <v>13392.630000000001</v>
          </cell>
        </row>
        <row r="9">
          <cell r="A9" t="str">
            <v>TO</v>
          </cell>
          <cell r="B9">
            <v>40717.671427653848</v>
          </cell>
          <cell r="C9">
            <v>399.28</v>
          </cell>
          <cell r="D9">
            <v>48874.73</v>
          </cell>
          <cell r="E9">
            <v>6821.99</v>
          </cell>
          <cell r="F9">
            <v>56096</v>
          </cell>
        </row>
        <row r="10">
          <cell r="A10" t="str">
            <v>Soma (N)</v>
          </cell>
          <cell r="B10">
            <v>322637.66716745275</v>
          </cell>
          <cell r="C10">
            <v>1514.09</v>
          </cell>
          <cell r="D10">
            <v>376990.99</v>
          </cell>
          <cell r="E10">
            <v>52620.81</v>
          </cell>
          <cell r="F10">
            <v>431125.89</v>
          </cell>
        </row>
        <row r="11">
          <cell r="A11" t="str">
            <v>AL</v>
          </cell>
          <cell r="B11">
            <v>68928.917230518418</v>
          </cell>
          <cell r="C11">
            <v>356.63</v>
          </cell>
          <cell r="D11">
            <v>83898.19</v>
          </cell>
          <cell r="E11">
            <v>11710.6</v>
          </cell>
          <cell r="F11">
            <v>95965.420000000013</v>
          </cell>
        </row>
        <row r="12">
          <cell r="A12" t="str">
            <v>BA</v>
          </cell>
          <cell r="B12">
            <v>219669.26643778547</v>
          </cell>
          <cell r="C12">
            <v>1578.86</v>
          </cell>
          <cell r="D12">
            <v>225980.06</v>
          </cell>
          <cell r="E12">
            <v>31542.54</v>
          </cell>
          <cell r="F12">
            <v>259101.46</v>
          </cell>
        </row>
        <row r="13">
          <cell r="A13" t="str">
            <v>CE</v>
          </cell>
          <cell r="B13">
            <v>123555.01066758628</v>
          </cell>
          <cell r="C13">
            <v>1022.97</v>
          </cell>
          <cell r="D13">
            <v>138648.95000000001</v>
          </cell>
          <cell r="E13">
            <v>19352.77</v>
          </cell>
          <cell r="F13">
            <v>159024.69</v>
          </cell>
        </row>
        <row r="14">
          <cell r="A14" t="str">
            <v>MA</v>
          </cell>
          <cell r="B14">
            <v>54080.891462325722</v>
          </cell>
          <cell r="C14">
            <v>196.89</v>
          </cell>
          <cell r="D14">
            <v>66761.66</v>
          </cell>
          <cell r="E14">
            <v>9318.66</v>
          </cell>
          <cell r="F14">
            <v>76277.210000000006</v>
          </cell>
        </row>
        <row r="15">
          <cell r="A15" t="str">
            <v>PB</v>
          </cell>
          <cell r="B15">
            <v>100408.55897394072</v>
          </cell>
          <cell r="C15">
            <v>662.68</v>
          </cell>
          <cell r="D15">
            <v>109588.93</v>
          </cell>
          <cell r="E15">
            <v>15296.54</v>
          </cell>
          <cell r="F15">
            <v>125548.15</v>
          </cell>
        </row>
        <row r="16">
          <cell r="A16" t="str">
            <v>PE</v>
          </cell>
          <cell r="B16">
            <v>176288.41362254551</v>
          </cell>
          <cell r="C16">
            <v>1754.56</v>
          </cell>
          <cell r="D16">
            <v>210335.59</v>
          </cell>
          <cell r="E16">
            <v>29358.87</v>
          </cell>
          <cell r="F16">
            <v>241449.02</v>
          </cell>
        </row>
        <row r="17">
          <cell r="A17" t="str">
            <v>PI</v>
          </cell>
          <cell r="B17">
            <v>52784.616607473989</v>
          </cell>
          <cell r="C17">
            <v>78.38</v>
          </cell>
          <cell r="D17">
            <v>57886.45</v>
          </cell>
          <cell r="E17">
            <v>8079.85</v>
          </cell>
          <cell r="F17">
            <v>66044.679999999993</v>
          </cell>
        </row>
        <row r="18">
          <cell r="A18" t="str">
            <v>RN</v>
          </cell>
          <cell r="B18">
            <v>88187.291534149917</v>
          </cell>
          <cell r="C18">
            <v>739.11</v>
          </cell>
          <cell r="D18">
            <v>108904.02</v>
          </cell>
          <cell r="E18">
            <v>15200.94</v>
          </cell>
          <cell r="F18">
            <v>124844.07</v>
          </cell>
        </row>
        <row r="19">
          <cell r="A19" t="str">
            <v>SE</v>
          </cell>
          <cell r="B19">
            <v>58730.120400922657</v>
          </cell>
          <cell r="C19">
            <v>445.17</v>
          </cell>
          <cell r="D19">
            <v>69884.490000000005</v>
          </cell>
          <cell r="E19">
            <v>9754.5499999999993</v>
          </cell>
          <cell r="F19">
            <v>80084.210000000006</v>
          </cell>
        </row>
        <row r="20">
          <cell r="A20" t="str">
            <v>Soma (NE)</v>
          </cell>
          <cell r="B20">
            <v>942633.08693724859</v>
          </cell>
          <cell r="C20">
            <v>6835.24</v>
          </cell>
          <cell r="D20">
            <v>1071888.3400000001</v>
          </cell>
          <cell r="E20">
            <v>149615.34</v>
          </cell>
          <cell r="F20">
            <v>1228338.9200000002</v>
          </cell>
        </row>
        <row r="21">
          <cell r="A21" t="str">
            <v>DF</v>
          </cell>
          <cell r="B21">
            <v>251380.06349730358</v>
          </cell>
          <cell r="C21">
            <v>5724.02</v>
          </cell>
          <cell r="D21">
            <v>234082.61</v>
          </cell>
          <cell r="E21">
            <v>32673.5</v>
          </cell>
          <cell r="F21">
            <v>272480.13</v>
          </cell>
        </row>
        <row r="22">
          <cell r="A22" t="str">
            <v>GO</v>
          </cell>
          <cell r="B22">
            <v>211544.86501507025</v>
          </cell>
          <cell r="C22">
            <v>1604.25</v>
          </cell>
          <cell r="D22">
            <v>271333.19</v>
          </cell>
          <cell r="E22">
            <v>37872.980000000003</v>
          </cell>
          <cell r="F22">
            <v>310810.42</v>
          </cell>
        </row>
        <row r="23">
          <cell r="A23" t="str">
            <v>MS</v>
          </cell>
          <cell r="B23">
            <v>172560.16238287112</v>
          </cell>
          <cell r="C23">
            <v>802.23</v>
          </cell>
          <cell r="D23">
            <v>192040.1</v>
          </cell>
          <cell r="E23">
            <v>26805.17</v>
          </cell>
          <cell r="F23">
            <v>219647.5</v>
          </cell>
        </row>
        <row r="24">
          <cell r="A24" t="str">
            <v>MT</v>
          </cell>
          <cell r="B24">
            <v>207577.5764497726</v>
          </cell>
          <cell r="C24">
            <v>1720.04</v>
          </cell>
          <cell r="D24">
            <v>262509.62</v>
          </cell>
          <cell r="E24">
            <v>36641.379999999997</v>
          </cell>
          <cell r="F24">
            <v>300871.03999999998</v>
          </cell>
        </row>
        <row r="25">
          <cell r="A25" t="str">
            <v>Soma (CO)</v>
          </cell>
          <cell r="B25">
            <v>843062.66734501754</v>
          </cell>
          <cell r="C25">
            <v>9850.5300000000007</v>
          </cell>
          <cell r="D25">
            <v>959965.52</v>
          </cell>
          <cell r="E25">
            <v>133993.03</v>
          </cell>
          <cell r="F25">
            <v>1103809.08</v>
          </cell>
        </row>
        <row r="26">
          <cell r="A26" t="str">
            <v>ES</v>
          </cell>
          <cell r="B26">
            <v>162778.18072429803</v>
          </cell>
          <cell r="C26">
            <v>1270.0899999999999</v>
          </cell>
          <cell r="D26">
            <v>174208.26</v>
          </cell>
          <cell r="E26">
            <v>24316.18</v>
          </cell>
          <cell r="F26">
            <v>199794.53</v>
          </cell>
        </row>
        <row r="27">
          <cell r="A27" t="str">
            <v>MG</v>
          </cell>
          <cell r="B27">
            <v>675148.8706546498</v>
          </cell>
          <cell r="C27">
            <v>7652.79</v>
          </cell>
          <cell r="D27">
            <v>672962.27</v>
          </cell>
          <cell r="E27">
            <v>93932.800000000003</v>
          </cell>
          <cell r="F27">
            <v>774547.8600000001</v>
          </cell>
        </row>
        <row r="28">
          <cell r="A28" t="str">
            <v>RJ</v>
          </cell>
          <cell r="B28">
            <v>802443.16782539594</v>
          </cell>
          <cell r="C28">
            <v>14670.01</v>
          </cell>
          <cell r="D28">
            <v>685295.46</v>
          </cell>
          <cell r="E28">
            <v>95654.28</v>
          </cell>
          <cell r="F28">
            <v>795619.75</v>
          </cell>
        </row>
        <row r="29">
          <cell r="A29" t="str">
            <v>SP</v>
          </cell>
          <cell r="B29">
            <v>2907704.5214139237</v>
          </cell>
          <cell r="C29">
            <v>40259.870000000003</v>
          </cell>
          <cell r="D29">
            <v>3220488.01</v>
          </cell>
          <cell r="E29">
            <v>449519.21</v>
          </cell>
          <cell r="F29">
            <v>3710267.09</v>
          </cell>
        </row>
        <row r="30">
          <cell r="A30" t="str">
            <v>Soma (SE)</v>
          </cell>
          <cell r="B30">
            <v>4548074.740618268</v>
          </cell>
          <cell r="C30">
            <v>63852.75</v>
          </cell>
          <cell r="D30">
            <v>4752954</v>
          </cell>
          <cell r="E30">
            <v>663422.47</v>
          </cell>
          <cell r="F30">
            <v>5480229.2199999997</v>
          </cell>
        </row>
        <row r="31">
          <cell r="A31" t="str">
            <v>PR</v>
          </cell>
          <cell r="B31">
            <v>671268.67168002483</v>
          </cell>
          <cell r="C31">
            <v>5221.2700000000004</v>
          </cell>
          <cell r="D31">
            <v>748274.1</v>
          </cell>
          <cell r="E31">
            <v>104444.91</v>
          </cell>
          <cell r="F31">
            <v>857940.28</v>
          </cell>
        </row>
        <row r="32">
          <cell r="A32" t="str">
            <v>RS</v>
          </cell>
          <cell r="B32">
            <v>849901.68357517861</v>
          </cell>
          <cell r="C32">
            <v>4964.26</v>
          </cell>
          <cell r="D32">
            <v>902968.92</v>
          </cell>
          <cell r="E32">
            <v>126037.38</v>
          </cell>
          <cell r="F32">
            <v>1033970.56</v>
          </cell>
        </row>
        <row r="33">
          <cell r="A33" t="str">
            <v>SC</v>
          </cell>
          <cell r="B33">
            <v>528694.76215311501</v>
          </cell>
          <cell r="C33">
            <v>3726.85</v>
          </cell>
          <cell r="D33">
            <v>583810.17000000004</v>
          </cell>
          <cell r="E33">
            <v>81488.86</v>
          </cell>
          <cell r="F33">
            <v>669025.88</v>
          </cell>
        </row>
        <row r="34">
          <cell r="A34" t="str">
            <v>Soma (S)</v>
          </cell>
          <cell r="B34">
            <v>2049865.1174083184</v>
          </cell>
          <cell r="C34">
            <v>13912.38</v>
          </cell>
          <cell r="D34">
            <v>2235053.19</v>
          </cell>
          <cell r="E34">
            <v>311971.15000000002</v>
          </cell>
          <cell r="F34">
            <v>2560936.7199999997</v>
          </cell>
        </row>
        <row r="35">
          <cell r="A35" t="str">
            <v>Soma CAU/UF</v>
          </cell>
          <cell r="B35">
            <v>8706273.2794763055</v>
          </cell>
          <cell r="C35">
            <v>95965</v>
          </cell>
          <cell r="D35">
            <v>9396852.0474552084</v>
          </cell>
          <cell r="E35">
            <v>1311622.79364</v>
          </cell>
          <cell r="F35">
            <v>10804439.841095209</v>
          </cell>
        </row>
        <row r="36">
          <cell r="A36" t="str">
            <v xml:space="preserve"> CAU/BR </v>
          </cell>
          <cell r="B36">
            <v>1746450.6502247013</v>
          </cell>
          <cell r="C36">
            <v>0</v>
          </cell>
          <cell r="D36">
            <v>2349213.0118638021</v>
          </cell>
          <cell r="E36">
            <v>327905.7</v>
          </cell>
          <cell r="F36">
            <v>2677118.7118638023</v>
          </cell>
        </row>
        <row r="37">
          <cell r="A37" t="str">
            <v>TOTAL</v>
          </cell>
          <cell r="B37">
            <v>10452723.929701006</v>
          </cell>
          <cell r="C37">
            <v>95965</v>
          </cell>
          <cell r="D37">
            <v>11746065.05931901</v>
          </cell>
          <cell r="E37">
            <v>1639528.49364</v>
          </cell>
          <cell r="F37">
            <v>13481558.55295901</v>
          </cell>
        </row>
      </sheetData>
      <sheetData sheetId="24"/>
      <sheetData sheetId="25">
        <row r="2">
          <cell r="A2" t="str">
            <v>AC</v>
          </cell>
          <cell r="B2">
            <v>155.55464735060656</v>
          </cell>
          <cell r="C2">
            <v>29.84</v>
          </cell>
          <cell r="D2">
            <v>125.71464735060655</v>
          </cell>
        </row>
        <row r="3">
          <cell r="A3" t="str">
            <v>AM</v>
          </cell>
          <cell r="B3">
            <v>260.57679187913749</v>
          </cell>
          <cell r="C3">
            <v>1.1599999999999999</v>
          </cell>
          <cell r="D3">
            <v>259.41679187913746</v>
          </cell>
        </row>
        <row r="4">
          <cell r="A4" t="str">
            <v>AP</v>
          </cell>
          <cell r="B4">
            <v>85.236256442019425</v>
          </cell>
          <cell r="C4">
            <v>0.11</v>
          </cell>
          <cell r="D4">
            <v>85.126256442019425</v>
          </cell>
        </row>
        <row r="5">
          <cell r="A5" t="str">
            <v>PA</v>
          </cell>
          <cell r="B5">
            <v>783.42421184881994</v>
          </cell>
          <cell r="C5">
            <v>11.06</v>
          </cell>
          <cell r="D5">
            <v>772.36421184881999</v>
          </cell>
        </row>
        <row r="6">
          <cell r="A6" t="str">
            <v>RO</v>
          </cell>
          <cell r="B6">
            <v>359.59466547830152</v>
          </cell>
          <cell r="C6">
            <v>86.48</v>
          </cell>
          <cell r="D6">
            <v>273.1146654783015</v>
          </cell>
        </row>
        <row r="7">
          <cell r="A7" t="str">
            <v>RR</v>
          </cell>
          <cell r="B7">
            <v>30.860942904199344</v>
          </cell>
          <cell r="C7">
            <v>0</v>
          </cell>
          <cell r="D7">
            <v>30.860942904199344</v>
          </cell>
        </row>
        <row r="8">
          <cell r="A8" t="str">
            <v>TO</v>
          </cell>
          <cell r="B8">
            <v>228.28028981021242</v>
          </cell>
          <cell r="C8">
            <v>88.429999999999993</v>
          </cell>
          <cell r="D8">
            <v>139.85028981021242</v>
          </cell>
        </row>
        <row r="9">
          <cell r="A9" t="str">
            <v>Soma (N)</v>
          </cell>
          <cell r="B9">
            <v>1903.5278057132969</v>
          </cell>
          <cell r="C9">
            <v>217.07999999999998</v>
          </cell>
          <cell r="D9">
            <v>1686.4478057132969</v>
          </cell>
        </row>
        <row r="10">
          <cell r="A10" t="str">
            <v>AL</v>
          </cell>
          <cell r="B10">
            <v>328.61660509668445</v>
          </cell>
          <cell r="C10">
            <v>127.88000000000001</v>
          </cell>
          <cell r="D10">
            <v>200.73660509668446</v>
          </cell>
        </row>
        <row r="11">
          <cell r="A11" t="str">
            <v>BA</v>
          </cell>
          <cell r="B11">
            <v>2408.9772268285087</v>
          </cell>
          <cell r="C11">
            <v>392.78</v>
          </cell>
          <cell r="D11">
            <v>2016.1972268285087</v>
          </cell>
        </row>
        <row r="12">
          <cell r="A12" t="str">
            <v>CE</v>
          </cell>
          <cell r="B12">
            <v>812.28890520040909</v>
          </cell>
          <cell r="C12">
            <v>376.72999999999996</v>
          </cell>
          <cell r="D12">
            <v>435.55890520040913</v>
          </cell>
        </row>
        <row r="13">
          <cell r="A13" t="str">
            <v>MA</v>
          </cell>
          <cell r="B13">
            <v>326.74813273505526</v>
          </cell>
          <cell r="C13">
            <v>13.37</v>
          </cell>
          <cell r="D13">
            <v>313.37813273505526</v>
          </cell>
        </row>
        <row r="14">
          <cell r="A14" t="str">
            <v>PB</v>
          </cell>
          <cell r="B14">
            <v>518.43648056469522</v>
          </cell>
          <cell r="C14">
            <v>243.68</v>
          </cell>
          <cell r="D14">
            <v>274.75648056469521</v>
          </cell>
        </row>
        <row r="15">
          <cell r="A15" t="str">
            <v>PE</v>
          </cell>
          <cell r="B15">
            <v>1449.9335635298733</v>
          </cell>
          <cell r="C15">
            <v>504.88</v>
          </cell>
          <cell r="D15">
            <v>945.05356352987326</v>
          </cell>
        </row>
        <row r="16">
          <cell r="A16" t="str">
            <v>PI</v>
          </cell>
          <cell r="B16">
            <v>200.489436962864</v>
          </cell>
          <cell r="C16">
            <v>1.9</v>
          </cell>
          <cell r="D16">
            <v>198.589436962864</v>
          </cell>
        </row>
        <row r="17">
          <cell r="A17" t="str">
            <v>RN</v>
          </cell>
          <cell r="B17">
            <v>495.92379883229131</v>
          </cell>
          <cell r="C17">
            <v>257.18</v>
          </cell>
          <cell r="D17">
            <v>238.7437988322913</v>
          </cell>
        </row>
        <row r="18">
          <cell r="A18" t="str">
            <v>SE</v>
          </cell>
          <cell r="B18">
            <v>227.95172666092316</v>
          </cell>
          <cell r="C18">
            <v>117.45</v>
          </cell>
          <cell r="D18">
            <v>110.50172666092315</v>
          </cell>
        </row>
        <row r="19">
          <cell r="A19" t="str">
            <v>Soma (NE)</v>
          </cell>
          <cell r="B19">
            <v>6769.3658764113034</v>
          </cell>
          <cell r="C19">
            <v>2035.85</v>
          </cell>
          <cell r="D19">
            <v>4733.5158764113039</v>
          </cell>
        </row>
        <row r="20">
          <cell r="A20" t="str">
            <v>DF</v>
          </cell>
          <cell r="B20">
            <v>4335.6938103582497</v>
          </cell>
          <cell r="C20">
            <v>2472.79</v>
          </cell>
          <cell r="D20">
            <v>1862.9038103582498</v>
          </cell>
        </row>
        <row r="21">
          <cell r="A21" t="str">
            <v>GO</v>
          </cell>
          <cell r="B21">
            <v>1559.5379583471222</v>
          </cell>
          <cell r="C21">
            <v>479.72999999999996</v>
          </cell>
          <cell r="D21">
            <v>1079.8079583471222</v>
          </cell>
        </row>
        <row r="22">
          <cell r="A22" t="str">
            <v>MS</v>
          </cell>
          <cell r="B22">
            <v>832.09981395561738</v>
          </cell>
          <cell r="C22">
            <v>201.01</v>
          </cell>
          <cell r="D22">
            <v>631.08981395561739</v>
          </cell>
        </row>
        <row r="23">
          <cell r="A23" t="str">
            <v>MT</v>
          </cell>
          <cell r="B23">
            <v>1915.6788234363773</v>
          </cell>
          <cell r="C23">
            <v>451.73</v>
          </cell>
          <cell r="D23">
            <v>1463.9488234363773</v>
          </cell>
        </row>
        <row r="24">
          <cell r="A24" t="str">
            <v>Soma (CO)</v>
          </cell>
          <cell r="B24">
            <v>8643.0104060973663</v>
          </cell>
          <cell r="C24">
            <v>3605.2599999999998</v>
          </cell>
          <cell r="D24">
            <v>5037.750406097367</v>
          </cell>
        </row>
        <row r="25">
          <cell r="A25" t="str">
            <v>ES</v>
          </cell>
          <cell r="B25">
            <v>1911.4935567021819</v>
          </cell>
          <cell r="C25">
            <v>253.29999999999998</v>
          </cell>
          <cell r="D25">
            <v>1658.1935567021819</v>
          </cell>
        </row>
        <row r="26">
          <cell r="A26" t="str">
            <v>MG</v>
          </cell>
          <cell r="B26">
            <v>12030.799146965262</v>
          </cell>
          <cell r="C26">
            <v>1054.3399999999999</v>
          </cell>
          <cell r="D26">
            <v>10976.459146965262</v>
          </cell>
        </row>
        <row r="27">
          <cell r="A27" t="str">
            <v>RJ</v>
          </cell>
          <cell r="B27">
            <v>14726.968615668789</v>
          </cell>
          <cell r="C27">
            <v>2633.15</v>
          </cell>
          <cell r="D27">
            <v>12093.81861566879</v>
          </cell>
        </row>
        <row r="28">
          <cell r="A28" t="str">
            <v>SP</v>
          </cell>
          <cell r="B28">
            <v>32323.406595175456</v>
          </cell>
          <cell r="C28">
            <v>12587.66</v>
          </cell>
          <cell r="D28">
            <v>19735.746595175457</v>
          </cell>
        </row>
        <row r="29">
          <cell r="A29" t="str">
            <v>Soma (SE)</v>
          </cell>
          <cell r="B29">
            <v>60992.667914511694</v>
          </cell>
          <cell r="C29">
            <v>16528.45</v>
          </cell>
          <cell r="D29">
            <v>44464.21791451169</v>
          </cell>
        </row>
        <row r="30">
          <cell r="A30" t="str">
            <v>PR</v>
          </cell>
          <cell r="B30">
            <v>6597.8323258268283</v>
          </cell>
          <cell r="C30">
            <v>908.73</v>
          </cell>
          <cell r="D30">
            <v>5689.1023258268287</v>
          </cell>
        </row>
        <row r="31">
          <cell r="A31" t="str">
            <v>RS</v>
          </cell>
          <cell r="B31">
            <v>4496.4415392028523</v>
          </cell>
          <cell r="C31">
            <v>1480.81</v>
          </cell>
          <cell r="D31">
            <v>3015.6315392028523</v>
          </cell>
        </row>
        <row r="32">
          <cell r="A32" t="str">
            <v>SC</v>
          </cell>
          <cell r="B32">
            <v>4597.1541322366602</v>
          </cell>
          <cell r="C32">
            <v>496.85</v>
          </cell>
          <cell r="D32">
            <v>4100.3041322366598</v>
          </cell>
        </row>
      </sheetData>
      <sheetData sheetId="26"/>
      <sheetData sheetId="27"/>
      <sheetData sheetId="28"/>
      <sheetData sheetId="29"/>
      <sheetData sheetId="30">
        <row r="11">
          <cell r="A11" t="str">
            <v>TO</v>
          </cell>
          <cell r="B11">
            <v>0</v>
          </cell>
          <cell r="C11">
            <v>4969.4766</v>
          </cell>
        </row>
        <row r="12">
          <cell r="A12" t="str">
            <v>Soma (N)</v>
          </cell>
          <cell r="B12">
            <v>0</v>
          </cell>
          <cell r="C12">
            <v>4969.4766</v>
          </cell>
        </row>
        <row r="13">
          <cell r="A13" t="str">
            <v>AL</v>
          </cell>
          <cell r="B13">
            <v>0</v>
          </cell>
          <cell r="C13">
            <v>0</v>
          </cell>
        </row>
        <row r="14">
          <cell r="A14" t="str">
            <v>CE</v>
          </cell>
          <cell r="B14">
            <v>0</v>
          </cell>
          <cell r="C14">
            <v>16670.8014</v>
          </cell>
        </row>
        <row r="15">
          <cell r="A15" t="str">
            <v>MA</v>
          </cell>
          <cell r="B15">
            <v>0</v>
          </cell>
          <cell r="C15">
            <v>0</v>
          </cell>
        </row>
        <row r="16">
          <cell r="A16" t="str">
            <v>PB</v>
          </cell>
          <cell r="B16">
            <v>0</v>
          </cell>
          <cell r="C16">
            <v>14605.714199999999</v>
          </cell>
        </row>
        <row r="17">
          <cell r="A17" t="str">
            <v>PE</v>
          </cell>
          <cell r="B17">
            <v>0</v>
          </cell>
          <cell r="C17">
            <v>0</v>
          </cell>
        </row>
        <row r="18">
          <cell r="A18" t="str">
            <v>PI</v>
          </cell>
          <cell r="B18">
            <v>0</v>
          </cell>
          <cell r="C18">
            <v>0</v>
          </cell>
        </row>
        <row r="19">
          <cell r="A19" t="str">
            <v>RN</v>
          </cell>
          <cell r="B19">
            <v>0</v>
          </cell>
          <cell r="C19">
            <v>0</v>
          </cell>
        </row>
        <row r="20">
          <cell r="A20" t="str">
            <v>SE</v>
          </cell>
          <cell r="B20">
            <v>0</v>
          </cell>
          <cell r="C20">
            <v>7745.3309999999983</v>
          </cell>
        </row>
        <row r="21">
          <cell r="A21" t="str">
            <v>Soma (NE)</v>
          </cell>
          <cell r="B21">
            <v>0</v>
          </cell>
          <cell r="C21">
            <v>39021.846599999997</v>
          </cell>
        </row>
        <row r="22">
          <cell r="A22" t="str">
            <v>DF</v>
          </cell>
          <cell r="B22">
            <v>0</v>
          </cell>
          <cell r="C22">
            <v>0</v>
          </cell>
        </row>
        <row r="23">
          <cell r="A23" t="str">
            <v>GO</v>
          </cell>
          <cell r="B23">
            <v>0</v>
          </cell>
          <cell r="C23">
            <v>0</v>
          </cell>
        </row>
        <row r="24">
          <cell r="A24" t="str">
            <v>MS</v>
          </cell>
          <cell r="B24">
            <v>0</v>
          </cell>
          <cell r="C24">
            <v>0</v>
          </cell>
        </row>
        <row r="25">
          <cell r="A25" t="str">
            <v>MT</v>
          </cell>
          <cell r="B25">
            <v>0</v>
          </cell>
          <cell r="C25">
            <v>0</v>
          </cell>
        </row>
        <row r="26">
          <cell r="A26" t="str">
            <v>Soma (CO)</v>
          </cell>
          <cell r="B26">
            <v>0</v>
          </cell>
          <cell r="C26">
            <v>0</v>
          </cell>
        </row>
        <row r="27">
          <cell r="A27" t="str">
            <v>ES</v>
          </cell>
          <cell r="B27">
            <v>0</v>
          </cell>
          <cell r="C27">
            <v>0</v>
          </cell>
        </row>
        <row r="28">
          <cell r="A28" t="str">
            <v>MG</v>
          </cell>
          <cell r="B28">
            <v>0</v>
          </cell>
          <cell r="C28">
            <v>0</v>
          </cell>
        </row>
        <row r="29">
          <cell r="A29" t="str">
            <v>RJ</v>
          </cell>
          <cell r="B29">
            <v>0</v>
          </cell>
          <cell r="C29">
            <v>151073.60179999997</v>
          </cell>
        </row>
        <row r="30">
          <cell r="A30" t="str">
            <v>SP</v>
          </cell>
          <cell r="B30">
            <v>0</v>
          </cell>
          <cell r="C30">
            <v>0</v>
          </cell>
        </row>
        <row r="31">
          <cell r="A31" t="str">
            <v>Soma (SE)</v>
          </cell>
          <cell r="B31">
            <v>0</v>
          </cell>
          <cell r="C31">
            <v>151073.60179999997</v>
          </cell>
        </row>
      </sheetData>
      <sheetData sheetId="31"/>
      <sheetData sheetId="32"/>
      <sheetData sheetId="33"/>
      <sheetData sheetId="34">
        <row r="3">
          <cell r="A3" t="str">
            <v>AC</v>
          </cell>
          <cell r="B3">
            <v>2054.7893030720006</v>
          </cell>
          <cell r="C3">
            <v>11427.139356000001</v>
          </cell>
          <cell r="D3">
            <v>2285.4278712000005</v>
          </cell>
        </row>
        <row r="4">
          <cell r="A4" t="str">
            <v>AM</v>
          </cell>
          <cell r="B4">
            <v>4589.5060308900011</v>
          </cell>
          <cell r="C4">
            <v>25378.92251</v>
          </cell>
          <cell r="D4">
            <v>5075.7845020000004</v>
          </cell>
        </row>
        <row r="5">
          <cell r="A5" t="str">
            <v>AP</v>
          </cell>
          <cell r="B5">
            <v>2233.5136601360005</v>
          </cell>
          <cell r="C5">
            <v>12529.329012000002</v>
          </cell>
          <cell r="D5">
            <v>2505.8658024000006</v>
          </cell>
        </row>
        <row r="6">
          <cell r="A6" t="str">
            <v>PA</v>
          </cell>
          <cell r="B6">
            <v>6402.4018993440013</v>
          </cell>
          <cell r="C6">
            <v>35622.23861</v>
          </cell>
          <cell r="D6">
            <v>7124.4477220000008</v>
          </cell>
        </row>
        <row r="7">
          <cell r="A7" t="str">
            <v>RO</v>
          </cell>
          <cell r="B7">
            <v>6011.0552524000013</v>
          </cell>
          <cell r="C7">
            <v>26213.263254000001</v>
          </cell>
          <cell r="D7">
            <v>5242.6526508000006</v>
          </cell>
        </row>
        <row r="8">
          <cell r="A8" t="str">
            <v>RR</v>
          </cell>
          <cell r="B8">
            <v>640.37104120000015</v>
          </cell>
          <cell r="C8">
            <v>3329.1202500000009</v>
          </cell>
          <cell r="D8">
            <v>665.82405000000017</v>
          </cell>
        </row>
        <row r="9">
          <cell r="A9" t="str">
            <v>TO</v>
          </cell>
          <cell r="B9">
            <v>3095.7103292720008</v>
          </cell>
          <cell r="C9">
            <v>15118.871521999998</v>
          </cell>
          <cell r="D9">
            <v>3023.7743043999999</v>
          </cell>
        </row>
        <row r="10">
          <cell r="A10" t="str">
            <v>Soma (N)</v>
          </cell>
          <cell r="B10">
            <v>25027.347516314006</v>
          </cell>
          <cell r="C10">
            <v>129618.88451400002</v>
          </cell>
          <cell r="D10">
            <v>25923.776902800004</v>
          </cell>
        </row>
        <row r="11">
          <cell r="A11" t="str">
            <v>AL</v>
          </cell>
          <cell r="B11">
            <v>4930.6035219760015</v>
          </cell>
          <cell r="C11">
            <v>27029.191086000003</v>
          </cell>
          <cell r="D11">
            <v>5405.8382172000011</v>
          </cell>
        </row>
        <row r="12">
          <cell r="A12" t="str">
            <v>BA</v>
          </cell>
          <cell r="B12">
            <v>10342.914005600001</v>
          </cell>
          <cell r="C12">
            <v>61126.854187999998</v>
          </cell>
          <cell r="D12">
            <v>12225.3708376</v>
          </cell>
        </row>
        <row r="13">
          <cell r="A13" t="str">
            <v>CE</v>
          </cell>
          <cell r="B13">
            <v>6238.399921600002</v>
          </cell>
          <cell r="C13">
            <v>40244.049592000003</v>
          </cell>
          <cell r="D13">
            <v>8048.8099184000012</v>
          </cell>
        </row>
        <row r="14">
          <cell r="A14" t="str">
            <v>MA</v>
          </cell>
          <cell r="B14">
            <v>3085.1090732000007</v>
          </cell>
          <cell r="C14">
            <v>18316.402944000001</v>
          </cell>
          <cell r="D14">
            <v>3663.2805888000003</v>
          </cell>
        </row>
        <row r="15">
          <cell r="A15" t="str">
            <v>PB</v>
          </cell>
          <cell r="B15">
            <v>6647.8837468560014</v>
          </cell>
          <cell r="C15">
            <v>38901.517011999997</v>
          </cell>
          <cell r="D15">
            <v>7780.3034023999999</v>
          </cell>
        </row>
        <row r="16">
          <cell r="A16" t="str">
            <v>PE</v>
          </cell>
          <cell r="B16">
            <v>10760.957662664003</v>
          </cell>
          <cell r="C16">
            <v>62003.02081400001</v>
          </cell>
          <cell r="D16">
            <v>12400.604162800002</v>
          </cell>
        </row>
        <row r="17">
          <cell r="A17" t="str">
            <v>PI</v>
          </cell>
          <cell r="B17">
            <v>2306.7273460000001</v>
          </cell>
          <cell r="C17">
            <v>14901.896216000001</v>
          </cell>
          <cell r="D17">
            <v>2980.3792432000005</v>
          </cell>
        </row>
        <row r="18">
          <cell r="A18" t="str">
            <v>RN</v>
          </cell>
          <cell r="B18">
            <v>6191.9990310640014</v>
          </cell>
          <cell r="C18">
            <v>33698.769586000002</v>
          </cell>
          <cell r="D18">
            <v>6739.7539172000006</v>
          </cell>
        </row>
        <row r="19">
          <cell r="A19" t="str">
            <v>SE</v>
          </cell>
          <cell r="B19">
            <v>4467.1857406880017</v>
          </cell>
          <cell r="C19">
            <v>20030.685868</v>
          </cell>
          <cell r="D19">
            <v>4006.1371736000001</v>
          </cell>
        </row>
        <row r="20">
          <cell r="A20" t="str">
            <v>Soma (NE)</v>
          </cell>
          <cell r="B20">
            <v>54971.780049648012</v>
          </cell>
          <cell r="C20">
            <v>316252.38730599999</v>
          </cell>
          <cell r="D20">
            <v>63250.477461200004</v>
          </cell>
        </row>
        <row r="21">
          <cell r="A21" t="str">
            <v>DF</v>
          </cell>
          <cell r="B21">
            <v>13989.972508336003</v>
          </cell>
          <cell r="C21">
            <v>67357.867509999996</v>
          </cell>
          <cell r="D21">
            <v>13471.573501999999</v>
          </cell>
        </row>
        <row r="22">
          <cell r="A22" t="str">
            <v>GO</v>
          </cell>
          <cell r="B22">
            <v>19021.937988504007</v>
          </cell>
          <cell r="C22">
            <v>91604.373256000006</v>
          </cell>
          <cell r="D22">
            <v>18320.874651200003</v>
          </cell>
        </row>
        <row r="23">
          <cell r="A23" t="str">
            <v>MS</v>
          </cell>
          <cell r="B23">
            <v>13216.441043784005</v>
          </cell>
          <cell r="C23">
            <v>64202.22999800001</v>
          </cell>
          <cell r="D23">
            <v>12840.445999600002</v>
          </cell>
        </row>
        <row r="24">
          <cell r="A24" t="str">
            <v>MT</v>
          </cell>
          <cell r="B24">
            <v>18132.153157800007</v>
          </cell>
          <cell r="C24">
            <v>83888.569468000002</v>
          </cell>
          <cell r="D24">
            <v>16777.713893600001</v>
          </cell>
        </row>
        <row r="25">
          <cell r="A25" t="str">
            <v>Soma (CO)</v>
          </cell>
          <cell r="B25">
            <v>64360.504698424018</v>
          </cell>
          <cell r="C25">
            <v>307053.04023200006</v>
          </cell>
          <cell r="D25">
            <v>61410.608046400012</v>
          </cell>
        </row>
        <row r="26">
          <cell r="A26" t="str">
            <v>ES</v>
          </cell>
          <cell r="B26">
            <v>10783.099904016</v>
          </cell>
          <cell r="C26">
            <v>54286.74083000001</v>
          </cell>
          <cell r="D26">
            <v>10857.348166000003</v>
          </cell>
        </row>
        <row r="27">
          <cell r="A27" t="str">
            <v>MG</v>
          </cell>
          <cell r="B27">
            <v>44084.601839519994</v>
          </cell>
          <cell r="C27">
            <v>216047.608164</v>
          </cell>
          <cell r="D27">
            <v>43209.521632800002</v>
          </cell>
        </row>
        <row r="28">
          <cell r="A28" t="str">
            <v>RJ</v>
          </cell>
          <cell r="B28">
            <v>30260.759777160012</v>
          </cell>
          <cell r="C28">
            <v>175780.59912200001</v>
          </cell>
          <cell r="D28">
            <v>35156.119824400004</v>
          </cell>
        </row>
        <row r="29">
          <cell r="A29" t="str">
            <v>SP</v>
          </cell>
          <cell r="B29">
            <v>161344.13839060001</v>
          </cell>
          <cell r="C29">
            <v>878966.96460600011</v>
          </cell>
          <cell r="D29">
            <v>175793.39292120002</v>
          </cell>
        </row>
        <row r="30">
          <cell r="A30" t="str">
            <v>Soma (SE)</v>
          </cell>
          <cell r="B30">
            <v>246472.59991129601</v>
          </cell>
          <cell r="C30">
            <v>1325081.9127220002</v>
          </cell>
          <cell r="D30">
            <v>265016.38254440005</v>
          </cell>
        </row>
        <row r="31">
          <cell r="A31" t="str">
            <v>PR</v>
          </cell>
          <cell r="B31">
            <v>53264.92400027041</v>
          </cell>
          <cell r="C31">
            <v>251475.12796200006</v>
          </cell>
          <cell r="D31">
            <v>50295.025592400016</v>
          </cell>
        </row>
        <row r="32">
          <cell r="A32" t="str">
            <v>RS</v>
          </cell>
          <cell r="B32">
            <v>57688.814537200029</v>
          </cell>
          <cell r="C32">
            <v>299520.67394600005</v>
          </cell>
          <cell r="D32">
            <v>59904.134789200012</v>
          </cell>
        </row>
        <row r="33">
          <cell r="A33" t="str">
            <v>SC</v>
          </cell>
          <cell r="B33">
            <v>39504.555687344015</v>
          </cell>
          <cell r="C33">
            <v>186247.14910400001</v>
          </cell>
          <cell r="D33">
            <v>37249.429820800004</v>
          </cell>
        </row>
      </sheetData>
      <sheetData sheetId="35"/>
      <sheetData sheetId="36"/>
      <sheetData sheetId="37"/>
      <sheetData sheetId="38"/>
      <sheetData sheetId="39"/>
      <sheetData sheetId="4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monstrativos 2020"/>
      <sheetName val="Demonstrativos (2)"/>
    </sheetNames>
    <sheetDataSet>
      <sheetData sheetId="0">
        <row r="6">
          <cell r="A6" t="str">
            <v>AC</v>
          </cell>
          <cell r="B6">
            <v>978773.19</v>
          </cell>
          <cell r="C6">
            <v>0</v>
          </cell>
          <cell r="D6">
            <v>811356.82</v>
          </cell>
          <cell r="E6">
            <v>0</v>
          </cell>
          <cell r="F6">
            <v>1084650.1100000001</v>
          </cell>
          <cell r="G6">
            <v>903622.42</v>
          </cell>
          <cell r="H6">
            <v>949922.82</v>
          </cell>
          <cell r="I6">
            <v>126023.94</v>
          </cell>
          <cell r="J6">
            <v>62435.71</v>
          </cell>
          <cell r="K6">
            <v>0</v>
          </cell>
          <cell r="L6">
            <v>1013511.05</v>
          </cell>
          <cell r="M6">
            <v>574550.11</v>
          </cell>
          <cell r="N6">
            <v>732116.46</v>
          </cell>
          <cell r="O6">
            <v>1010905.87</v>
          </cell>
          <cell r="P6">
            <v>990905.87</v>
          </cell>
          <cell r="Q6">
            <v>505048.81</v>
          </cell>
          <cell r="R6">
            <v>30055.47</v>
          </cell>
          <cell r="S6">
            <v>0</v>
          </cell>
          <cell r="T6">
            <v>0</v>
          </cell>
          <cell r="U6">
            <v>167416.37</v>
          </cell>
          <cell r="V6">
            <v>197471.83999999997</v>
          </cell>
          <cell r="W6">
            <v>167416.37</v>
          </cell>
          <cell r="X6">
            <v>181027.69000000006</v>
          </cell>
          <cell r="Y6">
            <v>669680.75</v>
          </cell>
        </row>
        <row r="7">
          <cell r="A7" t="str">
            <v>AL</v>
          </cell>
          <cell r="B7">
            <v>1232952.55</v>
          </cell>
          <cell r="C7">
            <v>0</v>
          </cell>
          <cell r="D7">
            <v>1020468.41</v>
          </cell>
          <cell r="E7">
            <v>688</v>
          </cell>
          <cell r="F7">
            <v>1527298.6</v>
          </cell>
          <cell r="G7">
            <v>1108782.44</v>
          </cell>
          <cell r="H7">
            <v>1287698.23</v>
          </cell>
          <cell r="I7">
            <v>760473.78</v>
          </cell>
          <cell r="J7">
            <v>42830.42</v>
          </cell>
          <cell r="K7">
            <v>0</v>
          </cell>
          <cell r="L7">
            <v>2005341.5899999999</v>
          </cell>
          <cell r="M7">
            <v>326613.36</v>
          </cell>
          <cell r="N7">
            <v>562393.9</v>
          </cell>
          <cell r="O7">
            <v>1171655.42</v>
          </cell>
          <cell r="P7">
            <v>1166655.42</v>
          </cell>
          <cell r="Q7">
            <v>622829.93000000005</v>
          </cell>
          <cell r="R7">
            <v>0</v>
          </cell>
          <cell r="S7">
            <v>60000</v>
          </cell>
          <cell r="T7">
            <v>0</v>
          </cell>
          <cell r="U7">
            <v>211796.14</v>
          </cell>
          <cell r="V7">
            <v>211796.14</v>
          </cell>
          <cell r="W7">
            <v>212484.14</v>
          </cell>
          <cell r="X7">
            <v>418516.16000000015</v>
          </cell>
          <cell r="Y7">
            <v>459563.48000000004</v>
          </cell>
        </row>
        <row r="8">
          <cell r="A8" t="str">
            <v>AM</v>
          </cell>
          <cell r="B8">
            <v>1241396.67</v>
          </cell>
          <cell r="C8">
            <v>0</v>
          </cell>
          <cell r="D8">
            <v>956882.46</v>
          </cell>
          <cell r="E8">
            <v>3756.83</v>
          </cell>
          <cell r="F8">
            <v>1463185.74</v>
          </cell>
          <cell r="G8">
            <v>1072854.67</v>
          </cell>
          <cell r="H8">
            <v>1723675.64</v>
          </cell>
          <cell r="I8">
            <v>212206.62</v>
          </cell>
          <cell r="J8">
            <v>75196.09</v>
          </cell>
          <cell r="K8">
            <v>0</v>
          </cell>
          <cell r="L8">
            <v>1860686.17</v>
          </cell>
          <cell r="M8">
            <v>853165.82</v>
          </cell>
          <cell r="N8">
            <v>1059255.3700000001</v>
          </cell>
          <cell r="O8">
            <v>1068946.6200000001</v>
          </cell>
          <cell r="P8">
            <v>1059146.6200000001</v>
          </cell>
          <cell r="Q8">
            <v>619869.86</v>
          </cell>
          <cell r="R8">
            <v>0</v>
          </cell>
          <cell r="S8">
            <v>0</v>
          </cell>
          <cell r="T8">
            <v>0</v>
          </cell>
          <cell r="U8">
            <v>280757.38</v>
          </cell>
          <cell r="V8">
            <v>280757.38</v>
          </cell>
          <cell r="W8">
            <v>284514.20999999996</v>
          </cell>
          <cell r="X8">
            <v>390331.07000000007</v>
          </cell>
          <cell r="Y8">
            <v>984059.28000000014</v>
          </cell>
        </row>
        <row r="9">
          <cell r="A9" t="str">
            <v>AP</v>
          </cell>
          <cell r="B9">
            <v>1038921.88</v>
          </cell>
          <cell r="C9">
            <v>0</v>
          </cell>
          <cell r="D9">
            <v>785057.71</v>
          </cell>
          <cell r="E9">
            <v>0</v>
          </cell>
          <cell r="F9">
            <v>1223891.3799999999</v>
          </cell>
          <cell r="G9">
            <v>826987.88</v>
          </cell>
          <cell r="H9">
            <v>1202391.98</v>
          </cell>
          <cell r="I9">
            <v>600585.04</v>
          </cell>
          <cell r="J9">
            <v>59267.76</v>
          </cell>
          <cell r="K9">
            <v>0</v>
          </cell>
          <cell r="L9">
            <v>1743709.26</v>
          </cell>
          <cell r="M9">
            <v>652916.73</v>
          </cell>
          <cell r="N9">
            <v>889023.08</v>
          </cell>
          <cell r="O9">
            <v>1000166.43</v>
          </cell>
          <cell r="P9">
            <v>988166.43</v>
          </cell>
          <cell r="Q9">
            <v>534649.97</v>
          </cell>
          <cell r="R9">
            <v>14809.21</v>
          </cell>
          <cell r="S9">
            <v>0</v>
          </cell>
          <cell r="T9">
            <v>0</v>
          </cell>
          <cell r="U9">
            <v>253864.17000000004</v>
          </cell>
          <cell r="V9">
            <v>268673.38000000012</v>
          </cell>
          <cell r="W9">
            <v>253864.17000000004</v>
          </cell>
          <cell r="X9">
            <v>396903.49999999988</v>
          </cell>
          <cell r="Y9">
            <v>829755.32</v>
          </cell>
        </row>
        <row r="10">
          <cell r="A10" t="str">
            <v>BA</v>
          </cell>
          <cell r="B10">
            <v>3454832.83</v>
          </cell>
          <cell r="C10">
            <v>0</v>
          </cell>
          <cell r="D10">
            <v>2151451.59</v>
          </cell>
          <cell r="E10">
            <v>15148</v>
          </cell>
          <cell r="F10">
            <v>4257378.78</v>
          </cell>
          <cell r="G10">
            <v>2466338.5</v>
          </cell>
          <cell r="H10">
            <v>8150127.0899999999</v>
          </cell>
          <cell r="I10">
            <v>357324.03</v>
          </cell>
          <cell r="J10">
            <v>289864.38</v>
          </cell>
          <cell r="K10">
            <v>0</v>
          </cell>
          <cell r="L10">
            <v>8217586.7400000002</v>
          </cell>
          <cell r="M10">
            <v>5137764.32</v>
          </cell>
          <cell r="N10">
            <v>6656763.6900000004</v>
          </cell>
          <cell r="O10">
            <v>2866289.87</v>
          </cell>
          <cell r="P10">
            <v>2836289.87</v>
          </cell>
          <cell r="Q10">
            <v>1594503.58</v>
          </cell>
          <cell r="R10">
            <v>0</v>
          </cell>
          <cell r="S10">
            <v>51922.5</v>
          </cell>
          <cell r="T10">
            <v>0</v>
          </cell>
          <cell r="U10">
            <v>1288233.2400000002</v>
          </cell>
          <cell r="V10">
            <v>1288233.2400000002</v>
          </cell>
          <cell r="W10">
            <v>1303381.2400000002</v>
          </cell>
          <cell r="X10">
            <v>1791040.2800000003</v>
          </cell>
          <cell r="Y10">
            <v>6314976.8100000005</v>
          </cell>
        </row>
        <row r="11">
          <cell r="A11" t="str">
            <v>CE</v>
          </cell>
          <cell r="B11">
            <v>2050345.81</v>
          </cell>
          <cell r="C11">
            <v>0</v>
          </cell>
          <cell r="D11">
            <v>1793009.97</v>
          </cell>
          <cell r="E11">
            <v>33292.07</v>
          </cell>
          <cell r="F11">
            <v>2215731.67</v>
          </cell>
          <cell r="G11">
            <v>1648539.46</v>
          </cell>
          <cell r="H11">
            <v>2445257.73</v>
          </cell>
          <cell r="I11">
            <v>158622.21</v>
          </cell>
          <cell r="J11">
            <v>185592.41</v>
          </cell>
          <cell r="K11">
            <v>2051.8000000000002</v>
          </cell>
          <cell r="L11">
            <v>2416235.73</v>
          </cell>
          <cell r="M11">
            <v>1215480.8400000001</v>
          </cell>
          <cell r="N11">
            <v>1578097.27</v>
          </cell>
          <cell r="O11">
            <v>2025319.23</v>
          </cell>
          <cell r="P11">
            <v>2044266.58</v>
          </cell>
          <cell r="Q11">
            <v>1226756.6000000001</v>
          </cell>
          <cell r="R11">
            <v>0</v>
          </cell>
          <cell r="S11">
            <v>205100</v>
          </cell>
          <cell r="T11">
            <v>105</v>
          </cell>
          <cell r="U11">
            <v>224043.77000000002</v>
          </cell>
          <cell r="V11">
            <v>224043.77000000002</v>
          </cell>
          <cell r="W11">
            <v>257335.84000000008</v>
          </cell>
          <cell r="X11">
            <v>567192.21</v>
          </cell>
          <cell r="Y11">
            <v>1187299.8600000001</v>
          </cell>
        </row>
        <row r="12">
          <cell r="A12" t="str">
            <v>DF</v>
          </cell>
          <cell r="B12">
            <v>3530642.54</v>
          </cell>
          <cell r="C12">
            <v>0</v>
          </cell>
          <cell r="D12">
            <v>2961158.13</v>
          </cell>
          <cell r="E12">
            <v>994956.11</v>
          </cell>
          <cell r="F12">
            <v>4292084.75</v>
          </cell>
          <cell r="G12">
            <v>3596089.73</v>
          </cell>
          <cell r="H12">
            <v>2846742.21</v>
          </cell>
          <cell r="I12">
            <v>1882602.73</v>
          </cell>
          <cell r="J12">
            <v>302714.06</v>
          </cell>
          <cell r="K12">
            <v>0</v>
          </cell>
          <cell r="L12">
            <v>4422630.88</v>
          </cell>
          <cell r="M12">
            <v>1861351</v>
          </cell>
          <cell r="N12">
            <v>1697822.2</v>
          </cell>
          <cell r="O12">
            <v>3211385.33</v>
          </cell>
          <cell r="P12">
            <v>3249106.63</v>
          </cell>
          <cell r="Q12">
            <v>1847377.09</v>
          </cell>
          <cell r="R12">
            <v>0</v>
          </cell>
          <cell r="S12">
            <v>374404.28</v>
          </cell>
          <cell r="T12">
            <v>0</v>
          </cell>
          <cell r="U12">
            <v>-425471.69999999972</v>
          </cell>
          <cell r="V12">
            <v>-425471.69999999972</v>
          </cell>
          <cell r="W12">
            <v>569484.41000000015</v>
          </cell>
          <cell r="X12">
            <v>695995.02</v>
          </cell>
          <cell r="Y12">
            <v>1020703.8599999999</v>
          </cell>
        </row>
        <row r="13">
          <cell r="A13" t="str">
            <v>ES</v>
          </cell>
          <cell r="B13">
            <v>2592986.4300000002</v>
          </cell>
          <cell r="C13">
            <v>0</v>
          </cell>
          <cell r="D13">
            <v>2016598.02</v>
          </cell>
          <cell r="E13">
            <v>8434</v>
          </cell>
          <cell r="F13">
            <v>2838894.52</v>
          </cell>
          <cell r="G13">
            <v>2157568.39</v>
          </cell>
          <cell r="H13">
            <v>2849086.05</v>
          </cell>
          <cell r="I13">
            <v>233413.04</v>
          </cell>
          <cell r="J13">
            <v>237456.77</v>
          </cell>
          <cell r="K13">
            <v>0</v>
          </cell>
          <cell r="L13">
            <v>2845042.32</v>
          </cell>
          <cell r="M13">
            <v>1744928.28</v>
          </cell>
          <cell r="N13">
            <v>2343872.7599999998</v>
          </cell>
          <cell r="O13">
            <v>2491483.12</v>
          </cell>
          <cell r="P13">
            <v>2456483.12</v>
          </cell>
          <cell r="Q13">
            <v>1323989.18</v>
          </cell>
          <cell r="R13">
            <v>0</v>
          </cell>
          <cell r="S13">
            <v>21233.34</v>
          </cell>
          <cell r="T13">
            <v>0</v>
          </cell>
          <cell r="U13">
            <v>567954.41000000015</v>
          </cell>
          <cell r="V13">
            <v>567954.41000000015</v>
          </cell>
          <cell r="W13">
            <v>576388.41000000015</v>
          </cell>
          <cell r="X13">
            <v>681326.12999999989</v>
          </cell>
          <cell r="Y13">
            <v>2085182.6499999997</v>
          </cell>
        </row>
        <row r="14">
          <cell r="A14" t="str">
            <v>GO</v>
          </cell>
          <cell r="B14">
            <v>4002082.27</v>
          </cell>
          <cell r="C14">
            <v>0</v>
          </cell>
          <cell r="D14">
            <v>2823433.91</v>
          </cell>
          <cell r="E14">
            <v>58369.63</v>
          </cell>
          <cell r="F14">
            <v>4551799.74</v>
          </cell>
          <cell r="G14">
            <v>3252818.05</v>
          </cell>
          <cell r="H14">
            <v>3787031.29</v>
          </cell>
          <cell r="I14">
            <v>2329825.85</v>
          </cell>
          <cell r="J14">
            <v>302075.14</v>
          </cell>
          <cell r="K14">
            <v>10392.209999999999</v>
          </cell>
          <cell r="L14">
            <v>5804389.79</v>
          </cell>
          <cell r="M14">
            <v>1189699</v>
          </cell>
          <cell r="N14">
            <v>2472301.44</v>
          </cell>
          <cell r="O14">
            <v>3296036</v>
          </cell>
          <cell r="P14">
            <v>3295636</v>
          </cell>
          <cell r="Q14">
            <v>1863190.03</v>
          </cell>
          <cell r="R14">
            <v>0</v>
          </cell>
          <cell r="S14">
            <v>154314.5</v>
          </cell>
          <cell r="T14">
            <v>0</v>
          </cell>
          <cell r="U14">
            <v>1120278.73</v>
          </cell>
          <cell r="V14">
            <v>1120278.73</v>
          </cell>
          <cell r="W14">
            <v>1178648.3599999999</v>
          </cell>
          <cell r="X14">
            <v>1298981.6900000004</v>
          </cell>
          <cell r="Y14">
            <v>2015911.7999999998</v>
          </cell>
        </row>
        <row r="15">
          <cell r="A15" t="str">
            <v>MA</v>
          </cell>
          <cell r="B15">
            <v>1212982.17</v>
          </cell>
          <cell r="C15">
            <v>0</v>
          </cell>
          <cell r="D15">
            <v>1052036.28</v>
          </cell>
          <cell r="E15">
            <v>13520</v>
          </cell>
          <cell r="F15">
            <v>1495133.16</v>
          </cell>
          <cell r="G15">
            <v>1304445.54</v>
          </cell>
          <cell r="H15">
            <v>646735.44999999995</v>
          </cell>
          <cell r="I15">
            <v>370288.29</v>
          </cell>
          <cell r="J15">
            <v>129228.68</v>
          </cell>
          <cell r="K15">
            <v>0</v>
          </cell>
          <cell r="L15">
            <v>887795.05999999994</v>
          </cell>
          <cell r="M15">
            <v>48589.91</v>
          </cell>
          <cell r="N15">
            <v>196547.11</v>
          </cell>
          <cell r="O15">
            <v>1148553.8600000001</v>
          </cell>
          <cell r="P15">
            <v>1126766.3500000001</v>
          </cell>
          <cell r="Q15">
            <v>667917.18000000005</v>
          </cell>
          <cell r="R15">
            <v>0</v>
          </cell>
          <cell r="S15">
            <v>0</v>
          </cell>
          <cell r="T15">
            <v>0</v>
          </cell>
          <cell r="U15">
            <v>147425.8899999999</v>
          </cell>
          <cell r="V15">
            <v>147425.8899999999</v>
          </cell>
          <cell r="W15">
            <v>160945.8899999999</v>
          </cell>
          <cell r="X15">
            <v>190687.61999999988</v>
          </cell>
          <cell r="Y15">
            <v>67318.429999999993</v>
          </cell>
        </row>
        <row r="16">
          <cell r="A16" t="str">
            <v>MG</v>
          </cell>
          <cell r="B16">
            <v>10326854</v>
          </cell>
          <cell r="C16">
            <v>0</v>
          </cell>
          <cell r="D16">
            <v>7006836.8099999996</v>
          </cell>
          <cell r="E16">
            <v>1699</v>
          </cell>
          <cell r="F16">
            <v>11477778.560000001</v>
          </cell>
          <cell r="G16">
            <v>7718927.0300000003</v>
          </cell>
          <cell r="H16">
            <v>13794536.65</v>
          </cell>
          <cell r="I16">
            <v>217015.83</v>
          </cell>
          <cell r="J16">
            <v>770508.4</v>
          </cell>
          <cell r="K16">
            <v>65350</v>
          </cell>
          <cell r="L16">
            <v>13175694.08</v>
          </cell>
          <cell r="M16">
            <v>6765524.3099999996</v>
          </cell>
          <cell r="N16">
            <v>10061787.939999999</v>
          </cell>
          <cell r="O16">
            <v>9279185.9800000004</v>
          </cell>
          <cell r="P16">
            <v>9174154.8800000008</v>
          </cell>
          <cell r="Q16">
            <v>4292388.7</v>
          </cell>
          <cell r="R16">
            <v>0</v>
          </cell>
          <cell r="S16">
            <v>0</v>
          </cell>
          <cell r="T16">
            <v>0</v>
          </cell>
          <cell r="U16">
            <v>3318318.1900000004</v>
          </cell>
          <cell r="V16">
            <v>3318318.1900000004</v>
          </cell>
          <cell r="W16">
            <v>3320017.1900000004</v>
          </cell>
          <cell r="X16">
            <v>3758851.5300000003</v>
          </cell>
          <cell r="Y16">
            <v>9291279.5399999991</v>
          </cell>
        </row>
        <row r="17">
          <cell r="A17" t="str">
            <v>MS</v>
          </cell>
          <cell r="B17">
            <v>2718177.3</v>
          </cell>
          <cell r="C17">
            <v>0</v>
          </cell>
          <cell r="D17">
            <v>2281383.7000000002</v>
          </cell>
          <cell r="E17">
            <v>20566.400000000001</v>
          </cell>
          <cell r="F17">
            <v>3341133.51</v>
          </cell>
          <cell r="G17">
            <v>2802841.46</v>
          </cell>
          <cell r="H17">
            <v>2083168.26</v>
          </cell>
          <cell r="I17">
            <v>655993.38</v>
          </cell>
          <cell r="J17">
            <v>307016.51</v>
          </cell>
          <cell r="K17">
            <v>0</v>
          </cell>
          <cell r="L17">
            <v>2432145.13</v>
          </cell>
          <cell r="M17">
            <v>586710.06000000006</v>
          </cell>
          <cell r="N17">
            <v>1044183.59</v>
          </cell>
          <cell r="O17">
            <v>2429192.9900000002</v>
          </cell>
          <cell r="P17">
            <v>2470932.46</v>
          </cell>
          <cell r="Q17">
            <v>1169315.46</v>
          </cell>
          <cell r="R17">
            <v>0</v>
          </cell>
          <cell r="S17">
            <v>21386.51</v>
          </cell>
          <cell r="T17">
            <v>0</v>
          </cell>
          <cell r="U17">
            <v>416227.19999999972</v>
          </cell>
          <cell r="V17">
            <v>416227.19999999972</v>
          </cell>
          <cell r="W17">
            <v>436793.59999999963</v>
          </cell>
          <cell r="X17">
            <v>538292.04999999981</v>
          </cell>
          <cell r="Y17">
            <v>715780.57</v>
          </cell>
        </row>
        <row r="18">
          <cell r="A18" t="str">
            <v>MT</v>
          </cell>
          <cell r="B18">
            <v>3708941.44</v>
          </cell>
          <cell r="C18">
            <v>0</v>
          </cell>
          <cell r="D18">
            <v>2601941.2200000002</v>
          </cell>
          <cell r="E18">
            <v>68837.17</v>
          </cell>
          <cell r="F18">
            <v>4120554.01</v>
          </cell>
          <cell r="G18">
            <v>2878371.66</v>
          </cell>
          <cell r="H18">
            <v>2974045.01</v>
          </cell>
          <cell r="I18">
            <v>1849318.15</v>
          </cell>
          <cell r="J18">
            <v>117686.52</v>
          </cell>
          <cell r="K18">
            <v>162630.94</v>
          </cell>
          <cell r="L18">
            <v>4543045.7</v>
          </cell>
          <cell r="M18">
            <v>967982.22</v>
          </cell>
          <cell r="N18">
            <v>2003094.07</v>
          </cell>
          <cell r="O18">
            <v>3424511.65</v>
          </cell>
          <cell r="P18">
            <v>3600943.06</v>
          </cell>
          <cell r="Q18">
            <v>1304745.25</v>
          </cell>
          <cell r="R18">
            <v>0</v>
          </cell>
          <cell r="S18">
            <v>48434</v>
          </cell>
          <cell r="T18">
            <v>0</v>
          </cell>
          <cell r="U18">
            <v>1038163.0499999998</v>
          </cell>
          <cell r="V18">
            <v>1038163.0499999998</v>
          </cell>
          <cell r="W18">
            <v>1107000.2199999997</v>
          </cell>
          <cell r="X18">
            <v>1242182.3499999996</v>
          </cell>
          <cell r="Y18">
            <v>1836973.55</v>
          </cell>
        </row>
        <row r="19">
          <cell r="A19" t="str">
            <v>PA</v>
          </cell>
          <cell r="B19">
            <v>1639966.33</v>
          </cell>
          <cell r="C19">
            <v>0</v>
          </cell>
          <cell r="D19">
            <v>1241333.3</v>
          </cell>
          <cell r="E19">
            <v>19692.7</v>
          </cell>
          <cell r="F19">
            <v>2193025.38</v>
          </cell>
          <cell r="G19">
            <v>1720990.3</v>
          </cell>
          <cell r="H19">
            <v>2451115.16</v>
          </cell>
          <cell r="I19">
            <v>1044025.74</v>
          </cell>
          <cell r="J19">
            <v>113897.14</v>
          </cell>
          <cell r="K19">
            <v>0</v>
          </cell>
          <cell r="L19">
            <v>3381243.76</v>
          </cell>
          <cell r="M19">
            <v>1043434.65</v>
          </cell>
          <cell r="N19">
            <v>1427496.1</v>
          </cell>
          <cell r="O19">
            <v>1299067.47</v>
          </cell>
          <cell r="P19">
            <v>1299067.47</v>
          </cell>
          <cell r="Q19">
            <v>760806.02</v>
          </cell>
          <cell r="R19">
            <v>0</v>
          </cell>
          <cell r="S19">
            <v>0</v>
          </cell>
          <cell r="T19">
            <v>0</v>
          </cell>
          <cell r="U19">
            <v>378940.33000000007</v>
          </cell>
          <cell r="V19">
            <v>378940.33000000007</v>
          </cell>
          <cell r="W19">
            <v>398633.03</v>
          </cell>
          <cell r="X19">
            <v>472035.07999999984</v>
          </cell>
          <cell r="Y19">
            <v>1313598.9600000002</v>
          </cell>
        </row>
        <row r="20">
          <cell r="A20" t="str">
            <v>PB</v>
          </cell>
          <cell r="B20">
            <v>1738806.61</v>
          </cell>
          <cell r="C20">
            <v>0</v>
          </cell>
          <cell r="D20">
            <v>1268888.1100000001</v>
          </cell>
          <cell r="E20">
            <v>13740</v>
          </cell>
          <cell r="F20">
            <v>2147388.5299999998</v>
          </cell>
          <cell r="G20">
            <v>1309772.3600000001</v>
          </cell>
          <cell r="H20">
            <v>2266273.1</v>
          </cell>
          <cell r="I20">
            <v>78678.87</v>
          </cell>
          <cell r="J20">
            <v>89650.74</v>
          </cell>
          <cell r="K20">
            <v>15000</v>
          </cell>
          <cell r="L20">
            <v>2240301.23</v>
          </cell>
          <cell r="M20">
            <v>922378.88</v>
          </cell>
          <cell r="N20">
            <v>1378135.26</v>
          </cell>
          <cell r="O20">
            <v>1232272.78</v>
          </cell>
          <cell r="P20">
            <v>1422651.66</v>
          </cell>
          <cell r="Q20">
            <v>842664.59</v>
          </cell>
          <cell r="R20">
            <v>0</v>
          </cell>
          <cell r="S20">
            <v>0</v>
          </cell>
          <cell r="T20">
            <v>0</v>
          </cell>
          <cell r="U20">
            <v>456178.5</v>
          </cell>
          <cell r="V20">
            <v>456178.5</v>
          </cell>
          <cell r="W20">
            <v>469918.5</v>
          </cell>
          <cell r="X20">
            <v>837616.16999999969</v>
          </cell>
          <cell r="Y20">
            <v>1288484.52</v>
          </cell>
        </row>
        <row r="21">
          <cell r="A21" t="str">
            <v>PE</v>
          </cell>
          <cell r="B21">
            <v>2943446.82</v>
          </cell>
          <cell r="C21">
            <v>0</v>
          </cell>
          <cell r="D21">
            <v>2613657.85</v>
          </cell>
          <cell r="E21">
            <v>0</v>
          </cell>
          <cell r="F21">
            <v>3147576.8</v>
          </cell>
          <cell r="G21">
            <v>2800473.4</v>
          </cell>
          <cell r="H21">
            <v>2341240.9500000002</v>
          </cell>
          <cell r="I21">
            <v>200633.49</v>
          </cell>
          <cell r="J21">
            <v>330011.31</v>
          </cell>
          <cell r="K21">
            <v>0</v>
          </cell>
          <cell r="L21">
            <v>2211863.13</v>
          </cell>
          <cell r="M21">
            <v>793889.42</v>
          </cell>
          <cell r="N21">
            <v>1111398.71</v>
          </cell>
          <cell r="O21">
            <v>2846692.76</v>
          </cell>
          <cell r="P21">
            <v>2846692.76</v>
          </cell>
          <cell r="Q21">
            <v>1425738.55</v>
          </cell>
          <cell r="R21">
            <v>0</v>
          </cell>
          <cell r="S21">
            <v>0</v>
          </cell>
          <cell r="T21">
            <v>0</v>
          </cell>
          <cell r="U21">
            <v>329788.96999999974</v>
          </cell>
          <cell r="V21">
            <v>329788.96999999974</v>
          </cell>
          <cell r="W21">
            <v>329788.96999999974</v>
          </cell>
          <cell r="X21">
            <v>347103.39999999991</v>
          </cell>
          <cell r="Y21">
            <v>781387.39999999991</v>
          </cell>
        </row>
        <row r="22">
          <cell r="A22" t="str">
            <v>PI</v>
          </cell>
          <cell r="B22">
            <v>1079212.19</v>
          </cell>
          <cell r="C22">
            <v>0</v>
          </cell>
          <cell r="D22">
            <v>949433.08</v>
          </cell>
          <cell r="E22">
            <v>0</v>
          </cell>
          <cell r="F22">
            <v>1251040.42</v>
          </cell>
          <cell r="G22">
            <v>1085098.58</v>
          </cell>
          <cell r="H22">
            <v>499880.94</v>
          </cell>
          <cell r="I22">
            <v>223313.72</v>
          </cell>
          <cell r="J22">
            <v>96582.95</v>
          </cell>
          <cell r="K22">
            <v>0</v>
          </cell>
          <cell r="L22">
            <v>626611.71</v>
          </cell>
          <cell r="M22">
            <v>69920.56</v>
          </cell>
          <cell r="N22">
            <v>198763.41</v>
          </cell>
          <cell r="O22">
            <v>967998.82</v>
          </cell>
          <cell r="P22">
            <v>967998.82</v>
          </cell>
          <cell r="Q22">
            <v>636026.77</v>
          </cell>
          <cell r="R22">
            <v>6734.37</v>
          </cell>
          <cell r="S22">
            <v>0</v>
          </cell>
          <cell r="T22">
            <v>0</v>
          </cell>
          <cell r="U22">
            <v>129779.10999999999</v>
          </cell>
          <cell r="V22">
            <v>136513.4800000001</v>
          </cell>
          <cell r="W22">
            <v>129779.10999999999</v>
          </cell>
          <cell r="X22">
            <v>165941.83999999985</v>
          </cell>
          <cell r="Y22">
            <v>102180.46</v>
          </cell>
        </row>
        <row r="23">
          <cell r="A23" t="str">
            <v>PR</v>
          </cell>
          <cell r="B23">
            <v>11440515.41</v>
          </cell>
          <cell r="C23">
            <v>0</v>
          </cell>
          <cell r="D23">
            <v>8533386.6500000004</v>
          </cell>
          <cell r="E23">
            <v>68167.009999999995</v>
          </cell>
          <cell r="F23">
            <v>12720743</v>
          </cell>
          <cell r="G23">
            <v>9510350.8699999992</v>
          </cell>
          <cell r="H23">
            <v>17684062.649999999</v>
          </cell>
          <cell r="I23">
            <v>5929496.5700000003</v>
          </cell>
          <cell r="J23">
            <v>998855.31</v>
          </cell>
          <cell r="K23">
            <v>0</v>
          </cell>
          <cell r="L23">
            <v>22614703.91</v>
          </cell>
          <cell r="M23">
            <v>12336999.210000001</v>
          </cell>
          <cell r="N23">
            <v>15075623.26</v>
          </cell>
          <cell r="O23">
            <v>10305550.449999999</v>
          </cell>
          <cell r="P23">
            <v>10305550.449999999</v>
          </cell>
          <cell r="Q23">
            <v>4927779.68</v>
          </cell>
          <cell r="R23">
            <v>0</v>
          </cell>
          <cell r="S23">
            <v>185618.9</v>
          </cell>
          <cell r="T23">
            <v>13000</v>
          </cell>
          <cell r="U23">
            <v>2838961.75</v>
          </cell>
          <cell r="V23">
            <v>2838961.75</v>
          </cell>
          <cell r="W23">
            <v>2907128.76</v>
          </cell>
          <cell r="X23">
            <v>3210392.1300000008</v>
          </cell>
          <cell r="Y23">
            <v>13878149.049999999</v>
          </cell>
        </row>
        <row r="24">
          <cell r="A24" t="str">
            <v>RJ</v>
          </cell>
          <cell r="B24">
            <v>10251251.6</v>
          </cell>
          <cell r="C24">
            <v>0</v>
          </cell>
          <cell r="D24">
            <v>9505178.7200000007</v>
          </cell>
          <cell r="E24">
            <v>1509.21</v>
          </cell>
          <cell r="F24">
            <v>13164815.32</v>
          </cell>
          <cell r="G24">
            <v>9980989.7799999993</v>
          </cell>
          <cell r="H24">
            <v>11648752.300000001</v>
          </cell>
          <cell r="I24">
            <v>10417776.130000001</v>
          </cell>
          <cell r="J24">
            <v>1472931.88</v>
          </cell>
          <cell r="K24">
            <v>61933.11</v>
          </cell>
          <cell r="L24">
            <v>20531663.440000001</v>
          </cell>
          <cell r="M24">
            <v>7479123.2300000004</v>
          </cell>
          <cell r="N24">
            <v>7415886.79</v>
          </cell>
          <cell r="O24">
            <v>8780322.0099999998</v>
          </cell>
          <cell r="P24">
            <v>10203112.85</v>
          </cell>
          <cell r="Q24">
            <v>5924389.2800000003</v>
          </cell>
          <cell r="R24">
            <v>0</v>
          </cell>
          <cell r="S24">
            <v>0</v>
          </cell>
          <cell r="T24">
            <v>0</v>
          </cell>
          <cell r="U24">
            <v>744563.66999999806</v>
          </cell>
          <cell r="V24">
            <v>744563.66999999806</v>
          </cell>
          <cell r="W24">
            <v>746072.87999999896</v>
          </cell>
          <cell r="X24">
            <v>3183825.540000001</v>
          </cell>
          <cell r="Y24">
            <v>5942954.9100000001</v>
          </cell>
        </row>
        <row r="25">
          <cell r="A25" t="str">
            <v>RN</v>
          </cell>
          <cell r="B25">
            <v>1570186.73</v>
          </cell>
          <cell r="C25">
            <v>0</v>
          </cell>
          <cell r="D25">
            <v>1272751.75</v>
          </cell>
          <cell r="E25">
            <v>8143.44</v>
          </cell>
          <cell r="F25">
            <v>1895977.86</v>
          </cell>
          <cell r="G25">
            <v>1310507.01</v>
          </cell>
          <cell r="H25">
            <v>2125444.2000000002</v>
          </cell>
          <cell r="I25">
            <v>847440.98</v>
          </cell>
          <cell r="J25">
            <v>138451.01</v>
          </cell>
          <cell r="K25">
            <v>0</v>
          </cell>
          <cell r="L25">
            <v>2834434.17</v>
          </cell>
          <cell r="M25">
            <v>1018193.05</v>
          </cell>
          <cell r="N25">
            <v>1323412.1299999999</v>
          </cell>
          <cell r="O25">
            <v>1403515.82</v>
          </cell>
          <cell r="P25">
            <v>1380144.66</v>
          </cell>
          <cell r="Q25">
            <v>831400.59</v>
          </cell>
          <cell r="R25">
            <v>0</v>
          </cell>
          <cell r="S25">
            <v>56408.21</v>
          </cell>
          <cell r="T25">
            <v>2560.13</v>
          </cell>
          <cell r="U25">
            <v>289291.54000000004</v>
          </cell>
          <cell r="V25">
            <v>289291.54000000004</v>
          </cell>
          <cell r="W25">
            <v>297434.98</v>
          </cell>
          <cell r="X25">
            <v>585470.85000000009</v>
          </cell>
          <cell r="Y25">
            <v>1125992.78</v>
          </cell>
        </row>
        <row r="26">
          <cell r="A26" t="str">
            <v>RO</v>
          </cell>
          <cell r="B26">
            <v>1242378.4099999999</v>
          </cell>
          <cell r="C26">
            <v>0</v>
          </cell>
          <cell r="D26">
            <v>846642.24</v>
          </cell>
          <cell r="E26">
            <v>1900</v>
          </cell>
          <cell r="F26">
            <v>1463396.24</v>
          </cell>
          <cell r="G26">
            <v>1008843.94</v>
          </cell>
          <cell r="H26">
            <v>1422708.22</v>
          </cell>
          <cell r="I26">
            <v>301353.78999999998</v>
          </cell>
          <cell r="J26">
            <v>94551.72</v>
          </cell>
          <cell r="K26">
            <v>0</v>
          </cell>
          <cell r="L26">
            <v>1629510.29</v>
          </cell>
          <cell r="M26">
            <v>918275.65</v>
          </cell>
          <cell r="N26">
            <v>1301979.6100000001</v>
          </cell>
          <cell r="O26">
            <v>1077197.1599999999</v>
          </cell>
          <cell r="P26">
            <v>1151893.01</v>
          </cell>
          <cell r="Q26">
            <v>531767.51</v>
          </cell>
          <cell r="R26">
            <v>660.52</v>
          </cell>
          <cell r="S26">
            <v>0</v>
          </cell>
          <cell r="T26">
            <v>0</v>
          </cell>
          <cell r="U26">
            <v>393836.16999999993</v>
          </cell>
          <cell r="V26">
            <v>394496.68999999994</v>
          </cell>
          <cell r="W26">
            <v>395736.16999999993</v>
          </cell>
          <cell r="X26">
            <v>454552.30000000005</v>
          </cell>
          <cell r="Y26">
            <v>1207427.8900000001</v>
          </cell>
        </row>
        <row r="27">
          <cell r="A27" t="str">
            <v>RR</v>
          </cell>
          <cell r="B27">
            <v>858801.16</v>
          </cell>
          <cell r="C27">
            <v>0</v>
          </cell>
          <cell r="D27">
            <v>824621.06</v>
          </cell>
          <cell r="E27">
            <v>8800</v>
          </cell>
          <cell r="F27">
            <v>911143.59</v>
          </cell>
          <cell r="G27">
            <v>830923.37</v>
          </cell>
          <cell r="H27">
            <v>401286.5</v>
          </cell>
          <cell r="I27">
            <v>49006.64</v>
          </cell>
          <cell r="J27">
            <v>70234.350000000006</v>
          </cell>
          <cell r="K27">
            <v>0</v>
          </cell>
          <cell r="L27">
            <v>380058.79</v>
          </cell>
          <cell r="M27">
            <v>281022.99</v>
          </cell>
          <cell r="N27">
            <v>315564.21999999997</v>
          </cell>
          <cell r="O27">
            <v>1036779.4</v>
          </cell>
          <cell r="P27">
            <v>1036779.4</v>
          </cell>
          <cell r="Q27">
            <v>531060.80000000005</v>
          </cell>
          <cell r="R27">
            <v>46758.89</v>
          </cell>
          <cell r="S27">
            <v>0</v>
          </cell>
          <cell r="T27">
            <v>0</v>
          </cell>
          <cell r="U27">
            <v>25380.099999999977</v>
          </cell>
          <cell r="V27">
            <v>72138.989999999991</v>
          </cell>
          <cell r="W27">
            <v>34180.099999999977</v>
          </cell>
          <cell r="X27">
            <v>80220.219999999972</v>
          </cell>
          <cell r="Y27">
            <v>245329.86999999997</v>
          </cell>
        </row>
        <row r="28">
          <cell r="A28" t="str">
            <v>RS</v>
          </cell>
          <cell r="B28">
            <v>13407244.949999999</v>
          </cell>
          <cell r="C28">
            <v>0</v>
          </cell>
          <cell r="D28">
            <v>12064206.93</v>
          </cell>
          <cell r="E28">
            <v>137888.46</v>
          </cell>
          <cell r="F28">
            <v>15281360.35</v>
          </cell>
          <cell r="G28">
            <v>15047915.880000001</v>
          </cell>
          <cell r="H28">
            <v>23462217.460000001</v>
          </cell>
          <cell r="I28">
            <v>6154102.5999999996</v>
          </cell>
          <cell r="J28">
            <v>1627390.73</v>
          </cell>
          <cell r="K28">
            <v>65444.77</v>
          </cell>
          <cell r="L28">
            <v>27923484.559999999</v>
          </cell>
          <cell r="M28">
            <v>19270935.75</v>
          </cell>
          <cell r="N28">
            <v>20414293.493000001</v>
          </cell>
          <cell r="O28">
            <v>11746175.550000001</v>
          </cell>
          <cell r="P28">
            <v>13731728.550000001</v>
          </cell>
          <cell r="Q28">
            <v>7099682.5</v>
          </cell>
          <cell r="R28">
            <v>0</v>
          </cell>
          <cell r="S28">
            <v>178863.85</v>
          </cell>
          <cell r="T28">
            <v>720</v>
          </cell>
          <cell r="U28">
            <v>1205149.5599999987</v>
          </cell>
          <cell r="V28">
            <v>1205149.5599999987</v>
          </cell>
          <cell r="W28">
            <v>1343038.0199999996</v>
          </cell>
          <cell r="X28">
            <v>233444.46999999881</v>
          </cell>
          <cell r="Y28">
            <v>18607318.912999999</v>
          </cell>
        </row>
        <row r="29">
          <cell r="A29" t="str">
            <v>SC</v>
          </cell>
          <cell r="B29">
            <v>8299894.4699999997</v>
          </cell>
          <cell r="C29">
            <v>0</v>
          </cell>
          <cell r="D29">
            <v>6450602.8200000003</v>
          </cell>
          <cell r="E29">
            <v>75668.929999999993</v>
          </cell>
          <cell r="F29">
            <v>9603263.0299999993</v>
          </cell>
          <cell r="G29">
            <v>7454324.6900000004</v>
          </cell>
          <cell r="H29">
            <v>11761116.57</v>
          </cell>
          <cell r="I29">
            <v>384488.69</v>
          </cell>
          <cell r="J29">
            <v>550086.86</v>
          </cell>
          <cell r="K29">
            <v>3549.04</v>
          </cell>
          <cell r="L29">
            <v>11591969.359999999</v>
          </cell>
          <cell r="M29">
            <v>8042080.9299999997</v>
          </cell>
          <cell r="N29">
            <v>9383465.4800000004</v>
          </cell>
          <cell r="O29">
            <v>7666697.2199999997</v>
          </cell>
          <cell r="P29">
            <v>7602891.4500000002</v>
          </cell>
          <cell r="Q29">
            <v>4180962.19</v>
          </cell>
          <cell r="R29">
            <v>0</v>
          </cell>
          <cell r="S29">
            <v>133721.14000000001</v>
          </cell>
          <cell r="T29">
            <v>7119</v>
          </cell>
          <cell r="U29">
            <v>1773622.7199999997</v>
          </cell>
          <cell r="V29">
            <v>1773622.7199999997</v>
          </cell>
          <cell r="W29">
            <v>1849291.6499999994</v>
          </cell>
          <cell r="X29">
            <v>2148938.3399999989</v>
          </cell>
          <cell r="Y29">
            <v>8692538.4800000004</v>
          </cell>
        </row>
        <row r="30">
          <cell r="A30" t="str">
            <v>SE</v>
          </cell>
          <cell r="B30">
            <v>1160030.76</v>
          </cell>
          <cell r="C30">
            <v>0</v>
          </cell>
          <cell r="D30">
            <v>932841.53</v>
          </cell>
          <cell r="E30">
            <v>0</v>
          </cell>
          <cell r="F30">
            <v>1283829.73</v>
          </cell>
          <cell r="G30">
            <v>1015731.92</v>
          </cell>
          <cell r="H30">
            <v>1251466.07</v>
          </cell>
          <cell r="I30">
            <v>56335.040000000001</v>
          </cell>
          <cell r="J30">
            <v>77361.62</v>
          </cell>
          <cell r="K30">
            <v>0</v>
          </cell>
          <cell r="L30">
            <v>1230439.49</v>
          </cell>
          <cell r="M30">
            <v>642120.63</v>
          </cell>
          <cell r="N30">
            <v>855918.17</v>
          </cell>
          <cell r="O30">
            <v>875713.67</v>
          </cell>
          <cell r="P30">
            <v>950591.9</v>
          </cell>
          <cell r="Q30">
            <v>599729.43000000005</v>
          </cell>
          <cell r="R30">
            <v>2126.87</v>
          </cell>
          <cell r="S30">
            <v>0</v>
          </cell>
          <cell r="T30">
            <v>0</v>
          </cell>
          <cell r="U30">
            <v>227189.22999999998</v>
          </cell>
          <cell r="V30">
            <v>229316.10000000009</v>
          </cell>
          <cell r="W30">
            <v>227189.22999999998</v>
          </cell>
          <cell r="X30">
            <v>268097.80999999994</v>
          </cell>
          <cell r="Y30">
            <v>778556.55</v>
          </cell>
        </row>
        <row r="31">
          <cell r="A31" t="str">
            <v>SP</v>
          </cell>
          <cell r="B31">
            <v>47047479.229999997</v>
          </cell>
          <cell r="C31">
            <v>0</v>
          </cell>
          <cell r="D31">
            <v>33607488.43</v>
          </cell>
          <cell r="E31">
            <v>991855.95</v>
          </cell>
          <cell r="F31">
            <v>52820102.479999997</v>
          </cell>
          <cell r="G31">
            <v>41670623.32</v>
          </cell>
          <cell r="H31">
            <v>57578483.619999997</v>
          </cell>
          <cell r="I31">
            <v>42079472.009999998</v>
          </cell>
          <cell r="J31">
            <v>3930734.12</v>
          </cell>
          <cell r="K31">
            <v>795366</v>
          </cell>
          <cell r="L31">
            <v>94931855.510000005</v>
          </cell>
          <cell r="M31">
            <v>32993124.210000001</v>
          </cell>
          <cell r="N31">
            <v>42699542.170000002</v>
          </cell>
          <cell r="O31">
            <v>40072219</v>
          </cell>
          <cell r="P31">
            <v>46171987.649999999</v>
          </cell>
          <cell r="Q31">
            <v>17665082.030000001</v>
          </cell>
          <cell r="R31">
            <v>0</v>
          </cell>
          <cell r="S31">
            <v>0</v>
          </cell>
          <cell r="T31">
            <v>0</v>
          </cell>
          <cell r="U31">
            <v>12448134.849999994</v>
          </cell>
          <cell r="V31">
            <v>12448134.849999994</v>
          </cell>
          <cell r="W31">
            <v>13439990.799999997</v>
          </cell>
          <cell r="X31">
            <v>11149479.159999996</v>
          </cell>
          <cell r="Y31">
            <v>38768808.050000004</v>
          </cell>
        </row>
        <row r="32">
          <cell r="A32" t="str">
            <v>TO</v>
          </cell>
          <cell r="B32">
            <v>1035888.75</v>
          </cell>
          <cell r="C32">
            <v>0</v>
          </cell>
          <cell r="D32">
            <v>929466.22</v>
          </cell>
          <cell r="E32">
            <v>7102.48</v>
          </cell>
          <cell r="F32">
            <v>1145130.82</v>
          </cell>
          <cell r="G32">
            <v>955427.64</v>
          </cell>
          <cell r="H32">
            <v>1209869.93</v>
          </cell>
          <cell r="I32">
            <v>404904.9</v>
          </cell>
          <cell r="J32">
            <v>83470.73</v>
          </cell>
          <cell r="K32">
            <v>0</v>
          </cell>
          <cell r="L32">
            <v>1531304.1</v>
          </cell>
          <cell r="M32">
            <v>844913.31</v>
          </cell>
          <cell r="N32">
            <v>947560.52</v>
          </cell>
          <cell r="O32">
            <v>1036653.31</v>
          </cell>
          <cell r="P32">
            <v>1036653.31</v>
          </cell>
          <cell r="Q32">
            <v>629052.67000000004</v>
          </cell>
          <cell r="R32">
            <v>31566.85</v>
          </cell>
          <cell r="S32">
            <v>214.54</v>
          </cell>
          <cell r="T32">
            <v>0</v>
          </cell>
          <cell r="U32">
            <v>99320.050000000047</v>
          </cell>
          <cell r="V32">
            <v>130886.90000000014</v>
          </cell>
          <cell r="W32">
            <v>106422.53000000003</v>
          </cell>
          <cell r="X32">
            <v>189703.18000000005</v>
          </cell>
          <cell r="Y32">
            <v>863875.25</v>
          </cell>
        </row>
      </sheetData>
      <sheetData sheetId="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RT"/>
      <sheetName val="Anexo VI-Repasse FA sem exerc."/>
      <sheetName val="Anexo VI.I-Aporte FA sem exerci"/>
      <sheetName val="senha"/>
      <sheetName val="QUADRO 1"/>
      <sheetName val="QUADRO 2"/>
      <sheetName val="QUADRO 3"/>
      <sheetName val="QUADRO 4"/>
      <sheetName val="ANEXO I"/>
      <sheetName val="ANEXO II"/>
      <sheetName val="ANEXO III Anexo IX (100 e 80%)"/>
      <sheetName val="Estudos - Receita"/>
      <sheetName val="ANEXO IV"/>
      <sheetName val="ANEXO V"/>
      <sheetName val="ANEXO VI"/>
      <sheetName val="ANEXO VII"/>
      <sheetName val="ANEXO VIII"/>
      <sheetName val="Análise Impacto CSC FA"/>
      <sheetName val="Anexo X-Aporte FA com exerc."/>
      <sheetName val="Anexo X-Repasse FA com exerc."/>
      <sheetName val="Acerto de Contas"/>
      <sheetName val="CSC_Teleatendimento"/>
      <sheetName val="ANEXO XI.A - CSC Total(AJUSTE) "/>
      <sheetName val="ANEXO XI - CSC Total"/>
      <sheetName val="Anexo XI.I-CSC-Teleatendimento"/>
      <sheetName val="ANEXO XI.II Enc de Contas"/>
      <sheetName val="Anexo XI.III-CSC -Essenc e RIA"/>
      <sheetName val="Simulação de %"/>
      <sheetName val="NOVOS EGRESSOS"/>
      <sheetName val="Estudos-Percentuais"/>
      <sheetName val="Anexo XII- SISCAF"/>
      <sheetName val="Resumo - Ajuste pelos UFs"/>
      <sheetName val="Médias por UF"/>
      <sheetName val="Financeiro"/>
      <sheetName val="XIII. TAXAS BANCÁRIAS"/>
      <sheetName val="Gráficos e Tabelas"/>
      <sheetName val="Exerc.Anteriores PF-PJ"/>
      <sheetName val="Análise PF"/>
      <sheetName val="PF - Projeção"/>
      <sheetName val="Análise PJ"/>
      <sheetName val="PJ - Projeçã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35">
          <cell r="D35">
            <v>563049.8351572</v>
          </cell>
        </row>
      </sheetData>
      <sheetData sheetId="35"/>
      <sheetData sheetId="36"/>
      <sheetData sheetId="37"/>
      <sheetData sheetId="38"/>
      <sheetData sheetId="39"/>
      <sheetData sheetId="40"/>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4"/>
      <sheetName val="Capa do Parecer"/>
      <sheetName val="Análise Geral"/>
      <sheetName val="Indicadores e Metas"/>
      <sheetName val="FORM.1"/>
      <sheetName val="FORM.2"/>
      <sheetName val="FORM.3"/>
      <sheetName val="FORM.4"/>
      <sheetName val="PARECER"/>
      <sheetName val="FORM.1(rascunho)"/>
      <sheetName val="Orientações Iniciais"/>
      <sheetName val="Mapa Estratégico e ODS"/>
      <sheetName val="Indicadores e Metas (2)"/>
      <sheetName val="Conferência"/>
      <sheetName val="IndicadoreseMetas"/>
      <sheetName val="FORM2"/>
      <sheetName val="Quadro Geral"/>
      <sheetName val="Quadro Geral (2)"/>
      <sheetName val="AnáliseGeral"/>
      <sheetName val="FORM1"/>
      <sheetName val="Anexo 1. Fontes e Aplicações"/>
      <sheetName val="FORM3"/>
      <sheetName val="Anexo 2. Limites Estratégicos"/>
      <sheetName val="Anexo 3. Elemento de Despesas"/>
      <sheetName val="AÇÕES ESTRATÉGICAS - DESCRIÇÃO "/>
      <sheetName val="Facultativo - Anexo 4 "/>
      <sheetName val="Resumo"/>
    </sheetNames>
    <sheetDataSet>
      <sheetData sheetId="0"/>
      <sheetData sheetId="1"/>
      <sheetData sheetId="2"/>
      <sheetData sheetId="3">
        <row r="8">
          <cell r="F8"/>
        </row>
        <row r="11">
          <cell r="F11">
            <v>0.85</v>
          </cell>
        </row>
        <row r="12">
          <cell r="F12"/>
        </row>
        <row r="13">
          <cell r="F13">
            <v>0.5</v>
          </cell>
        </row>
        <row r="14">
          <cell r="F14"/>
        </row>
        <row r="15">
          <cell r="F15">
            <v>0.15</v>
          </cell>
        </row>
        <row r="16">
          <cell r="F16"/>
        </row>
        <row r="17">
          <cell r="F17">
            <v>0.6</v>
          </cell>
        </row>
        <row r="18">
          <cell r="F18"/>
        </row>
        <row r="19">
          <cell r="F19">
            <v>0.5</v>
          </cell>
        </row>
        <row r="20">
          <cell r="F20"/>
        </row>
        <row r="21">
          <cell r="F21">
            <v>0.9</v>
          </cell>
        </row>
        <row r="22">
          <cell r="F22"/>
        </row>
        <row r="23">
          <cell r="F23">
            <v>0.15</v>
          </cell>
        </row>
        <row r="24">
          <cell r="F24"/>
        </row>
        <row r="25">
          <cell r="F25">
            <v>0.03</v>
          </cell>
        </row>
        <row r="26">
          <cell r="F26"/>
        </row>
        <row r="27">
          <cell r="F27">
            <v>0.3</v>
          </cell>
        </row>
        <row r="28">
          <cell r="F28"/>
        </row>
        <row r="29">
          <cell r="F29">
            <v>0.75</v>
          </cell>
        </row>
        <row r="30">
          <cell r="F30"/>
        </row>
        <row r="32">
          <cell r="F32">
            <v>1</v>
          </cell>
        </row>
        <row r="33">
          <cell r="F33"/>
        </row>
        <row r="34">
          <cell r="F34">
            <v>0.9</v>
          </cell>
        </row>
        <row r="35">
          <cell r="F35"/>
        </row>
        <row r="36">
          <cell r="F36" t="str">
            <v>NSA</v>
          </cell>
        </row>
        <row r="37">
          <cell r="F37"/>
        </row>
        <row r="39">
          <cell r="F39">
            <v>0.65</v>
          </cell>
        </row>
        <row r="40">
          <cell r="F40"/>
        </row>
        <row r="41">
          <cell r="F41">
            <v>1.3</v>
          </cell>
        </row>
        <row r="42">
          <cell r="F42"/>
        </row>
        <row r="43">
          <cell r="F43">
            <v>13.3</v>
          </cell>
        </row>
        <row r="44">
          <cell r="F44"/>
        </row>
        <row r="45">
          <cell r="F45">
            <v>2</v>
          </cell>
        </row>
        <row r="46">
          <cell r="F46"/>
        </row>
        <row r="48">
          <cell r="F48">
            <v>10</v>
          </cell>
        </row>
        <row r="50">
          <cell r="F50">
            <v>0.65</v>
          </cell>
        </row>
        <row r="51">
          <cell r="F51"/>
        </row>
        <row r="52">
          <cell r="F52">
            <v>0.3</v>
          </cell>
        </row>
        <row r="53">
          <cell r="F53"/>
        </row>
        <row r="55">
          <cell r="F55">
            <v>150000</v>
          </cell>
        </row>
        <row r="56">
          <cell r="F56" t="str">
            <v>NSA</v>
          </cell>
        </row>
        <row r="57">
          <cell r="F57"/>
        </row>
        <row r="58">
          <cell r="F58">
            <v>1</v>
          </cell>
        </row>
        <row r="59">
          <cell r="F59"/>
        </row>
        <row r="60">
          <cell r="F60">
            <v>700000</v>
          </cell>
        </row>
        <row r="62">
          <cell r="F62" t="str">
            <v>NSA</v>
          </cell>
        </row>
        <row r="63">
          <cell r="F63"/>
        </row>
        <row r="64">
          <cell r="F64">
            <v>0.6</v>
          </cell>
        </row>
        <row r="65">
          <cell r="F65"/>
        </row>
        <row r="66">
          <cell r="F66">
            <v>0.66666666666666663</v>
          </cell>
        </row>
        <row r="67">
          <cell r="F67"/>
        </row>
        <row r="69">
          <cell r="F69">
            <v>2</v>
          </cell>
        </row>
        <row r="70">
          <cell r="F70"/>
        </row>
        <row r="71">
          <cell r="F71">
            <v>0.03</v>
          </cell>
        </row>
        <row r="72">
          <cell r="F72"/>
        </row>
        <row r="73">
          <cell r="F73">
            <v>2E-3</v>
          </cell>
        </row>
        <row r="74">
          <cell r="F74"/>
        </row>
        <row r="76">
          <cell r="F76">
            <v>641.15485548059655</v>
          </cell>
        </row>
        <row r="77">
          <cell r="F77"/>
        </row>
        <row r="78">
          <cell r="F78">
            <v>0.57573884373981277</v>
          </cell>
        </row>
        <row r="79">
          <cell r="F79"/>
        </row>
        <row r="80">
          <cell r="F80">
            <v>14.12</v>
          </cell>
        </row>
        <row r="81">
          <cell r="F81"/>
        </row>
        <row r="82">
          <cell r="F82">
            <v>0.29099999999999998</v>
          </cell>
        </row>
        <row r="83">
          <cell r="F83"/>
        </row>
        <row r="84">
          <cell r="F84">
            <v>0.432</v>
          </cell>
        </row>
        <row r="85">
          <cell r="F85"/>
        </row>
        <row r="87">
          <cell r="F87">
            <v>0.9</v>
          </cell>
        </row>
        <row r="88">
          <cell r="F88"/>
        </row>
        <row r="89">
          <cell r="F89">
            <v>0.45</v>
          </cell>
        </row>
        <row r="90">
          <cell r="F90"/>
        </row>
        <row r="91">
          <cell r="F91">
            <v>0.45</v>
          </cell>
        </row>
        <row r="92">
          <cell r="F92"/>
        </row>
        <row r="94">
          <cell r="F94">
            <v>4</v>
          </cell>
        </row>
        <row r="95">
          <cell r="F95"/>
        </row>
        <row r="97">
          <cell r="F97">
            <v>5</v>
          </cell>
        </row>
        <row r="98">
          <cell r="F98">
            <v>0.6</v>
          </cell>
        </row>
        <row r="99">
          <cell r="F99"/>
        </row>
        <row r="101">
          <cell r="F101">
            <v>0.7</v>
          </cell>
        </row>
        <row r="102">
          <cell r="F102"/>
        </row>
        <row r="103">
          <cell r="F103">
            <v>0.7</v>
          </cell>
        </row>
        <row r="104">
          <cell r="F104"/>
        </row>
      </sheetData>
      <sheetData sheetId="4">
        <row r="7">
          <cell r="D7">
            <v>10359138.999999998</v>
          </cell>
        </row>
        <row r="8">
          <cell r="D8">
            <v>10121554.399999999</v>
          </cell>
        </row>
        <row r="9">
          <cell r="D9">
            <v>5353425.4899999993</v>
          </cell>
        </row>
        <row r="10">
          <cell r="D10">
            <v>4847553.7799999993</v>
          </cell>
        </row>
        <row r="11">
          <cell r="D11">
            <v>3858512.8</v>
          </cell>
        </row>
        <row r="12">
          <cell r="D12">
            <v>989040.98</v>
          </cell>
        </row>
        <row r="13">
          <cell r="D13">
            <v>505871.71</v>
          </cell>
        </row>
        <row r="14">
          <cell r="D14">
            <v>370189.65</v>
          </cell>
        </row>
        <row r="15">
          <cell r="D15">
            <v>135682.06</v>
          </cell>
        </row>
        <row r="16">
          <cell r="D16">
            <v>4352960</v>
          </cell>
        </row>
        <row r="17">
          <cell r="D17">
            <v>415168.91</v>
          </cell>
        </row>
        <row r="18">
          <cell r="D18">
            <v>193500</v>
          </cell>
        </row>
        <row r="19">
          <cell r="D19">
            <v>44084.6</v>
          </cell>
        </row>
        <row r="20">
          <cell r="D20">
            <v>0</v>
          </cell>
        </row>
        <row r="21">
          <cell r="D21">
            <v>0</v>
          </cell>
        </row>
        <row r="22">
          <cell r="D22">
            <v>0</v>
          </cell>
        </row>
        <row r="23">
          <cell r="D23">
            <v>0</v>
          </cell>
        </row>
        <row r="24">
          <cell r="D24">
            <v>10359138.999999998</v>
          </cell>
        </row>
        <row r="25">
          <cell r="D25"/>
        </row>
        <row r="26">
          <cell r="D26">
            <v>9346947.7293453477</v>
          </cell>
        </row>
        <row r="27">
          <cell r="D27">
            <v>702062.16999999993</v>
          </cell>
        </row>
        <row r="28">
          <cell r="D28">
            <v>0</v>
          </cell>
        </row>
        <row r="29">
          <cell r="D29">
            <v>8644885.5593453478</v>
          </cell>
        </row>
        <row r="30">
          <cell r="D30">
            <v>257042.4</v>
          </cell>
        </row>
        <row r="31">
          <cell r="D31">
            <v>675148.8706546498</v>
          </cell>
        </row>
        <row r="32">
          <cell r="D32">
            <v>80000</v>
          </cell>
        </row>
        <row r="33">
          <cell r="D33">
            <v>10359138.999999998</v>
          </cell>
        </row>
        <row r="34">
          <cell r="D34">
            <v>0</v>
          </cell>
        </row>
      </sheetData>
      <sheetData sheetId="5">
        <row r="6">
          <cell r="A6" t="str">
            <v>Assessoria de Comunicação (Ascom)</v>
          </cell>
          <cell r="B6" t="str">
            <v>A</v>
          </cell>
          <cell r="D6" t="str">
            <v>Manter e Desenvolver as Atividades da Assessoria de Comunicação</v>
          </cell>
          <cell r="E6" t="str">
            <v>Fortalecer a imagem do CAU/MG e garantir a divulgação das informações da autarquia para a sociedade.</v>
          </cell>
          <cell r="F6" t="str">
            <v>Assegurar a eficácia no relacionamento e comunicação com a sociedade</v>
          </cell>
          <cell r="G6" t="str">
            <v>16 - Paz, justiça e instituições eficazes</v>
          </cell>
          <cell r="H6" t="str">
            <v>Acompanhamento da produção, desenvolvimento e distribuição de cartilhas e divulgação de campanhas; Demandas administrativas relativas a assessoria.</v>
          </cell>
          <cell r="J6">
            <v>362486.09400000004</v>
          </cell>
        </row>
        <row r="7">
          <cell r="A7" t="str">
            <v>Comissão Especial de Assistência Técnica para Habitação de Interesse Social (Cathis)</v>
          </cell>
          <cell r="B7" t="str">
            <v>A</v>
          </cell>
          <cell r="D7" t="str">
            <v>Manter e Desenvolver as Atividades da Comissão Especial de Assistência Técnica para Habitação de Interesse Social</v>
          </cell>
          <cell r="E7" t="str">
            <v>Cumprir as competências da Comissão conforme Regimento Interno e as ações previstas no seu Plano de Trabalho e no Plano de Ação do CAU/MG.</v>
          </cell>
          <cell r="F7" t="str">
            <v>Fomentar o acesso da sociedade à Arquitetura e Urbanismo</v>
          </cell>
          <cell r="G7" t="str">
            <v>11 - Cidades e comunidades sustentáveis</v>
          </cell>
          <cell r="H7" t="str">
            <v>Diretrizes e orientações elaboradas e revisadas voltadas para o aperfeiçoamento da política de assistência técnica para habitação de interesse social pública e gratuita e para o desenvolvimento profissional integrado às demandas habitacionais, urbanas e ambientais dos territórios; Demandas administrativas relativas à Comissão realizadas conforme previsões regimentais e pelos normativos do CAU.</v>
          </cell>
          <cell r="J7">
            <v>27999.999345351011</v>
          </cell>
        </row>
        <row r="8">
          <cell r="A8" t="str">
            <v>Colegiado das Entidades Estaduais de Arquitetos e Urbanistas do CAU/MG (CEAU)</v>
          </cell>
          <cell r="B8" t="str">
            <v>A</v>
          </cell>
          <cell r="D8" t="str">
            <v>Manter e Desenvolver as Atividades do Colegiado das Entidades Estaduais de Arquitetos e Urbanistas do CAU/MG</v>
          </cell>
          <cell r="E8" t="str">
            <v>Cumprir as competências do Colegiado conforme Regimento Interno e as ações previstas no seu Plano de Trabalho e no Plano de Ação do CAU/MG.</v>
          </cell>
          <cell r="F8" t="str">
            <v>Valorizar a Arquitetura e Urbanismo</v>
          </cell>
          <cell r="G8" t="str">
            <v>17 - Parcerias e meios de implementação</v>
          </cell>
          <cell r="H8" t="str">
            <v>Ações desenvolvidas voltadas à capacitação técnica, valorização profissional e conscientização da sociedade do papel do arquiteto e urbanista; Demandas administrativas relativas ao CEAU realizadas conforme previsões regimentais e pelos normativos do CAU.</v>
          </cell>
          <cell r="J8">
            <v>16000</v>
          </cell>
        </row>
        <row r="9">
          <cell r="A9" t="str">
            <v>Colegiado das Entidades Estaduais de Arquitetos e Urbanistas do CAU/MG (CEAU)</v>
          </cell>
          <cell r="B9" t="str">
            <v>P</v>
          </cell>
          <cell r="D9" t="str">
            <v>Edital de Patrocínio para Entidades de Arquitetos e Urbanistas</v>
          </cell>
          <cell r="E9" t="str">
            <v>Fortalecer a relação institucional com as entidades de arquitetos e urbanistas no sentido de fomentar o acesso da sociedade à arquitetura e urbanismo.</v>
          </cell>
          <cell r="F9" t="str">
            <v>Estimular o conhecimento, o uso de processos criativos e a difusão das melhores práticas em Arquitetura e Urbanismo</v>
          </cell>
          <cell r="G9" t="str">
            <v>16 - Paz, justiça e instituições eficazes</v>
          </cell>
          <cell r="H9" t="str">
            <v>Lançamento de Edital de Patrocínio e firmar convênios específicos com o objetivo de valorizar a Arquitetura e Urbanismo em Minas Gerais.</v>
          </cell>
          <cell r="J9">
            <v>100000</v>
          </cell>
        </row>
        <row r="10">
          <cell r="A10" t="str">
            <v>Comissão de Organização e Administração (COA)</v>
          </cell>
          <cell r="B10" t="str">
            <v>A</v>
          </cell>
          <cell r="D10" t="str">
            <v>Manter e Desenvolver as Atividades da Comissão de Organização e Administração</v>
          </cell>
          <cell r="E10" t="str">
            <v>Cumprir as competências da Comissão conforme Regimento Interno e as ações previstas no seu Plano de Trabalho e no Plano Estratégico do CAU/MG para o biênio 2019-2020.</v>
          </cell>
          <cell r="F10" t="str">
            <v>Aprimorar e inovar os processos e as ações</v>
          </cell>
          <cell r="G10" t="str">
            <v>16 - Paz, justiça e instituições eficazes</v>
          </cell>
          <cell r="H10" t="str">
            <v>Diretrizes e orientações elaboradas e revisadas voltadas para melhorias organizacionais, normativas e administrativas do CAU/MG; Demandas administrativas relativas à Comissão realizadas conforme previsões regimentais e pelos normativos do CAU.</v>
          </cell>
          <cell r="J10">
            <v>64000</v>
          </cell>
        </row>
        <row r="11">
          <cell r="A11" t="str">
            <v>Comissão de Ensino e Formação (CEF)</v>
          </cell>
          <cell r="B11" t="str">
            <v>A</v>
          </cell>
          <cell r="D11" t="str">
            <v>Manter e Desenvolver as Atividades da Comissão de Ensino e Formação</v>
          </cell>
          <cell r="E11" t="str">
            <v>Cumprir as competências da Comissão listadas no Regimento Interno e ações previstas no seu Plano de Trabalho e no Plano Estratégico do CAU/MG para o biênio 2019-2020.</v>
          </cell>
          <cell r="F11" t="str">
            <v>Influenciar as diretrizes do ensino de Arquitetura e Urbanismo e sua formação continuada</v>
          </cell>
          <cell r="G11" t="str">
            <v>04 - Educação de qualidade</v>
          </cell>
          <cell r="H11" t="str">
            <v>Diretrizes e orientações desenvolvidas para maior integração entre CAU/MG e as Instituições de Ensino Superior mineiras; Demandas administrativas relativas à Comissão realizadas conforme previsões regimentais e pelos normativos do CAU.</v>
          </cell>
          <cell r="J11">
            <v>92000</v>
          </cell>
        </row>
        <row r="12">
          <cell r="A12" t="str">
            <v>Comissão de Ética e Disciplina (CED)</v>
          </cell>
          <cell r="B12" t="str">
            <v>A</v>
          </cell>
          <cell r="D12" t="str">
            <v>Manter e Desenvolver as Atividades da Comissão de Ética e Disciplina</v>
          </cell>
          <cell r="E12" t="str">
            <v>Cumprir as competências da Comissão conforme Regimento Interno e as ações previstas no seu Plano de Trabalho e no Plano Estratégico do CAU/MG para o biênio 2019-2020.</v>
          </cell>
          <cell r="F12" t="str">
            <v>Promover o exercício ético e qualificado da profissão</v>
          </cell>
          <cell r="G12" t="str">
            <v>16 - Paz, justiça e instituições eficazes</v>
          </cell>
          <cell r="H12" t="str">
            <v>Diretrizes e orientações desenvolvidas e divulgadas para a ampliação da compreensão do Código de Ética no Estado de Minas Gerais; Demandas administrativas relativas à Comissão realizadas conforme previsões regimentais e pelos normativos do CAU.</v>
          </cell>
          <cell r="J12">
            <v>76000</v>
          </cell>
        </row>
        <row r="13">
          <cell r="A13" t="str">
            <v>Comissão de Exercício Profissional (CEP)</v>
          </cell>
          <cell r="B13" t="str">
            <v>A</v>
          </cell>
          <cell r="D13" t="str">
            <v>Manter e Desenvolver as Atividades da Comissão de Exercício Profissional</v>
          </cell>
          <cell r="E13" t="str">
            <v>Cumprir as competências da Comissão conforme Regimento Interno e as ações previstas no seu Plano de Trabalho e no Plano Estratégico do CAU/MG para o biênio 2019-2020.</v>
          </cell>
          <cell r="F13" t="str">
            <v>Tornar a fiscalização um vetor de melhoria do exercício da Arquitetura e Urbanismo</v>
          </cell>
          <cell r="G13" t="str">
            <v>11 - Cidades e comunidades sustentáveis</v>
          </cell>
          <cell r="H13" t="str">
            <v>Diretrizes e orientações  elaboradas e monitoradas para a fiscalização do CAU/MG; Demandas administrativas relativas à Comissão realizadas conforme previsões regimentais e pelos normativos do CAU.</v>
          </cell>
          <cell r="J13">
            <v>128000</v>
          </cell>
        </row>
        <row r="14">
          <cell r="A14" t="str">
            <v>Comissão de Planejamento e Finanças (CPFi)</v>
          </cell>
          <cell r="B14" t="str">
            <v>A</v>
          </cell>
          <cell r="D14" t="str">
            <v>Manter e Desenvolver as Atividades da Comissão de Planejamento e Finanças</v>
          </cell>
          <cell r="E14" t="str">
            <v>Cumprir as competências da Comissão conforme Regimento Interno e as ações previstas no seu Plano de Trabalho e no Plano Estratégico do CAU/MG para o biênio 2019-2020.</v>
          </cell>
          <cell r="F14" t="str">
            <v>Assegurar a sustentabilidade financeira</v>
          </cell>
          <cell r="G14" t="str">
            <v>16 - Paz, justiça e instituições eficazes</v>
          </cell>
          <cell r="H14" t="str">
            <v>Diretrizes e orientações elaboradas e revisadas voltadas para melhorias no planejamento das ações administrativas e financeiras do CAU/MG; Demandas administrativas relativas à Comissão realizadas conforme previsões regimentais e pelos normativos do CAU.</v>
          </cell>
          <cell r="J14">
            <v>44800</v>
          </cell>
        </row>
        <row r="15">
          <cell r="A15" t="str">
            <v>Comissão Especial de Patrimônio Cultural (CPC)</v>
          </cell>
          <cell r="B15" t="str">
            <v>A</v>
          </cell>
          <cell r="D15" t="str">
            <v>Manter e Desenvolver as Atividades da Comissão Especial de Patrimônio Cultural</v>
          </cell>
          <cell r="E15" t="str">
            <v>Cumprir as competências da Comissão conforme Regimento Interno e as ações previstas no seu Plano de Trabalho e no Plano de Ação Estratégica do CAU/MG para o biênio 2019-2020.</v>
          </cell>
          <cell r="F15" t="str">
            <v>Estimular a produção da Arquitetura e Urbanismo como política de Estado</v>
          </cell>
          <cell r="G15" t="str">
            <v>11 - Cidades e comunidades sustentáveis</v>
          </cell>
          <cell r="H15" t="str">
            <v>Diretrizes e orientações elaboradas e revisadas voltadas para a valorização e difusão do patrimônio cultural  e promoção da participação dos arquitetos e urbanistas na atuação direta e gestão do patrimônio cultural como política de Estado; Demandas administrativas relativas à Comissão realizadas conforme previsões regimentais e pelos normativos do CAU.</v>
          </cell>
          <cell r="J15">
            <v>28000</v>
          </cell>
        </row>
        <row r="16">
          <cell r="A16" t="str">
            <v>Comissão Especial de Política Urbana e Ambiental (CPUA)</v>
          </cell>
          <cell r="B16" t="str">
            <v>A</v>
          </cell>
          <cell r="D16" t="str">
            <v>Manter e Desenvolver as Atividades da Comissão Especial de Política Urbana e Ambiental</v>
          </cell>
          <cell r="E16" t="str">
            <v>Cumprir as competências da Comissão conforme Regimento Interno e as ações previstas no seu Plano de Trabalho e no Plano de Ação do CAU/MG.</v>
          </cell>
          <cell r="F16" t="str">
            <v>Garantir a participação dos Arquitetos e Urbanistas no planejamento territorial e na gestão urbana</v>
          </cell>
          <cell r="G16" t="str">
            <v>11 - Cidades e comunidades sustentáveis</v>
          </cell>
          <cell r="H16" t="str">
            <v>Diretrizes e orientações elaboradas e revisadas voltadas para o aperfeiçoamento da política urbana de municípios e estado e para o desenvolvimento profissional integrado às demandas relativas ao planejamento urbano e territorial; Demandas administrativas relativas à Comissão realizadas conforme previsões regimentais e pelos normativos do CAU.</v>
          </cell>
          <cell r="J16">
            <v>62582.679000000004</v>
          </cell>
        </row>
        <row r="17">
          <cell r="A17" t="str">
            <v>Escritório Descentralizado Leste de Minas</v>
          </cell>
          <cell r="B17" t="str">
            <v>A</v>
          </cell>
          <cell r="D17" t="str">
            <v>Manter e Desenvolver as Atividades do Escritório Descentralizado Leste de Minas.</v>
          </cell>
          <cell r="E17" t="str">
            <v>Cumprir a finalidade precípua do Conselho, garantindo a fiscalização do exercício profissional na Regional Leste de Minas.</v>
          </cell>
          <cell r="F17" t="str">
            <v>Assegurar a eficácia no relacionamento e comunicação com a sociedade</v>
          </cell>
          <cell r="G17" t="str">
            <v>11 - Cidades e comunidades sustentáveis</v>
          </cell>
          <cell r="H17" t="str">
            <v>Desenvolvimento das ações de atendimento planejadas para a Regional.</v>
          </cell>
          <cell r="J17">
            <v>112142.91</v>
          </cell>
        </row>
        <row r="18">
          <cell r="A18" t="str">
            <v>Escritório Descentralizado Norte Minas</v>
          </cell>
          <cell r="B18" t="str">
            <v>A</v>
          </cell>
          <cell r="D18" t="str">
            <v>Manter e Desenvolver as Atividades do Escritório Descentralizado Norte de Minas.</v>
          </cell>
          <cell r="E18" t="str">
            <v>Cumprir a finalidade precípua do Conselho, garantindo a fiscalização do exercício profissional na Regional Norte de Minas.</v>
          </cell>
          <cell r="F18" t="str">
            <v>Assegurar a eficácia no relacionamento e comunicação com a sociedade</v>
          </cell>
          <cell r="G18" t="str">
            <v>11 - Cidades e comunidades sustentáveis</v>
          </cell>
          <cell r="H18" t="str">
            <v>Desenvolvimento das ações de atendimento planejadas para a Regional.</v>
          </cell>
          <cell r="J18">
            <v>109988.5</v>
          </cell>
        </row>
        <row r="19">
          <cell r="A19" t="str">
            <v>Escritório Descentralizado Sul de Minas</v>
          </cell>
          <cell r="B19" t="str">
            <v>A</v>
          </cell>
          <cell r="D19" t="str">
            <v>Manter e Desenvolver as Atividades do Escritório Descentralizado Sul de Minas.</v>
          </cell>
          <cell r="E19" t="str">
            <v>Cumprir a finalidade precípua do Conselho, garantindo a fiscalização do exercício profissional na Regional Sul de Minas.</v>
          </cell>
          <cell r="F19" t="str">
            <v>Assegurar a eficácia no relacionamento e comunicação com a sociedade</v>
          </cell>
          <cell r="G19" t="str">
            <v>11 - Cidades e comunidades sustentáveis</v>
          </cell>
          <cell r="H19" t="str">
            <v>Desenvolvimento das ações de atendimento planejadas para a Regional.</v>
          </cell>
          <cell r="J19">
            <v>93066.58</v>
          </cell>
        </row>
        <row r="20">
          <cell r="A20" t="str">
            <v>Escritório Descentralizado Triângulo Mineiro e Alto Paranaíba</v>
          </cell>
          <cell r="B20" t="str">
            <v>A</v>
          </cell>
          <cell r="D20" t="str">
            <v>Manter e Desenvolver as Atividades do Escritório Descentralizado Triângulo Mineiro e Alto Paranaíba.</v>
          </cell>
          <cell r="E20" t="str">
            <v>Cumprir a finalidade precípua do Conselho, garantindo a fiscalização do exercício profissional na Regional Triângulo Mineiro e Alto Paranaíba.</v>
          </cell>
          <cell r="F20" t="str">
            <v>Assegurar a eficácia no relacionamento e comunicação com a sociedade</v>
          </cell>
          <cell r="G20" t="str">
            <v>11 - Cidades e comunidades sustentáveis</v>
          </cell>
          <cell r="H20" t="str">
            <v>Desenvolvimento das ações de atendimento planejadas para a Regional.</v>
          </cell>
          <cell r="J20">
            <v>115114.51</v>
          </cell>
        </row>
        <row r="21">
          <cell r="A21" t="str">
            <v>Escritório Descentralizado Zona da Mata e Vertentes</v>
          </cell>
          <cell r="B21" t="str">
            <v>A</v>
          </cell>
          <cell r="D21" t="str">
            <v>Manter e Desenvolver as Atividades do Escritório Descentralizado Zona da Mata e Vertentes.</v>
          </cell>
          <cell r="E21" t="str">
            <v>Cumprir a finalidade precípua do Conselho, garantindo a fiscalização do exercício profissional na Regional Zona da Mata e Vertentes.</v>
          </cell>
          <cell r="F21" t="str">
            <v>Assegurar a eficácia no relacionamento e comunicação com a sociedade</v>
          </cell>
          <cell r="G21" t="str">
            <v>11 - Cidades e comunidades sustentáveis</v>
          </cell>
          <cell r="H21" t="str">
            <v>Desenvolvimento das ações de atendimento planejadas para a Regional.</v>
          </cell>
          <cell r="J21">
            <v>91518.48000000001</v>
          </cell>
        </row>
        <row r="22">
          <cell r="A22" t="str">
            <v>Gerência Administrativa e Financeira (GAF)</v>
          </cell>
          <cell r="B22" t="str">
            <v>A</v>
          </cell>
          <cell r="D22" t="str">
            <v>Manter e Desenvolver as Atividades da Gerência Administrativa e Financeira</v>
          </cell>
          <cell r="E22" t="str">
            <v>Observar a Sustentabilidade Financeira do CAU/MG e acompanhar a execução orçamentária e financeira.</v>
          </cell>
          <cell r="F22" t="str">
            <v>Assegurar a sustentabilidade financeira</v>
          </cell>
          <cell r="G22" t="str">
            <v>16 - Paz, justiça e instituições eficazes</v>
          </cell>
          <cell r="H22" t="str">
            <v>Desenvolvimento pleno das rotinas administrativas e financeiras do CAU/MG; Garantia da sustentabilidade financeira do CAU/MG.</v>
          </cell>
          <cell r="J22">
            <v>2238776.2529999958</v>
          </cell>
        </row>
        <row r="23">
          <cell r="A23" t="str">
            <v>Gerência Administrativa e Financeira (GAF)</v>
          </cell>
          <cell r="B23" t="str">
            <v>A</v>
          </cell>
          <cell r="D23" t="str">
            <v>Fundo de Apoio aos CAU/UF</v>
          </cell>
          <cell r="E23" t="str">
            <v>Assegurar a sustentabilidade financeira do Sistema do CAU, apoiando os CAU/UF básicos.</v>
          </cell>
          <cell r="F23" t="str">
            <v>Assegurar a sustentabilidade financeira</v>
          </cell>
          <cell r="G23" t="str">
            <v>16 - Paz, justiça e instituições eficazes</v>
          </cell>
          <cell r="H23" t="str">
            <v>Garantia da sustentabilidade do Fundo de Apoio do CAU.</v>
          </cell>
          <cell r="J23">
            <v>257042.4</v>
          </cell>
        </row>
        <row r="24">
          <cell r="A24" t="str">
            <v>Gerência Técnica e Fiscalização (Gertef) -  Coordenação de Fiscalização</v>
          </cell>
          <cell r="B24" t="str">
            <v>A</v>
          </cell>
          <cell r="D24" t="str">
            <v>Centro de Serviços Compartilhados (CSC) - Fiscalização</v>
          </cell>
          <cell r="E24" t="str">
            <v>Assegurar o funcionamento do Centro de Serviços Compartilhados e Fundo de Reserva CSC relacionadas à Fiscalização.</v>
          </cell>
          <cell r="F24" t="str">
            <v>Tornar a fiscalização um vetor de melhoria do exercício da Arquitetura e Urbanismo</v>
          </cell>
          <cell r="G24" t="str">
            <v>11 - Cidades e comunidades sustentáveis</v>
          </cell>
          <cell r="H24" t="str">
            <v>Garantia do funcionamento do CSC e dos demais Sistemas de Informação a ele vinculados.</v>
          </cell>
          <cell r="J24">
            <v>602232.79262394761</v>
          </cell>
        </row>
        <row r="25">
          <cell r="A25" t="str">
            <v>Gerência Técnica e Fiscalização (Gertef) -  Coordenação Técnica</v>
          </cell>
          <cell r="B25" t="str">
            <v>A</v>
          </cell>
          <cell r="D25" t="str">
            <v>Centro de Serviços Compartilhados (CSC) - Atendimento</v>
          </cell>
          <cell r="E25" t="str">
            <v>Assegurar o funcionamento do Centro de Serviços Compartilhados e Fundo de Reserva CSC relacionadas ao Atendimento.</v>
          </cell>
          <cell r="F25" t="str">
            <v>Assegurar a eficácia no atendimento e no relacionamento com os Arquitetos e Urbanistas e a Sociedade</v>
          </cell>
          <cell r="G25" t="str">
            <v>16 - Paz, justiça e instituições eficazes</v>
          </cell>
          <cell r="H25" t="str">
            <v>Garantia do funcionamento do CSC e dos demais Sistemas de Informação a ele vinculados.</v>
          </cell>
          <cell r="J25">
            <v>72916.078030702178</v>
          </cell>
        </row>
        <row r="26">
          <cell r="A26" t="str">
            <v>Gerência Administrativa e Financeira (GAF)</v>
          </cell>
          <cell r="B26" t="str">
            <v>A</v>
          </cell>
          <cell r="D26" t="str">
            <v>Reserva de Contingência</v>
          </cell>
          <cell r="E26" t="str">
            <v>Manter o Fundo para despesas não planejadas.</v>
          </cell>
          <cell r="F26" t="str">
            <v>Assegurar a sustentabilidade financeira</v>
          </cell>
          <cell r="G26" t="str">
            <v>16 - Paz, justiça e instituições eficazes</v>
          </cell>
          <cell r="H26" t="str">
            <v>Fomento de despesas extraordinárias do CAU/MG efetivado.</v>
          </cell>
          <cell r="J26">
            <v>80000</v>
          </cell>
        </row>
        <row r="28">
          <cell r="A28" t="str">
            <v>Gerência Especial de Planejamento e Gestão Estratégica (Geplan)</v>
          </cell>
          <cell r="B28" t="str">
            <v>A</v>
          </cell>
          <cell r="D28" t="str">
            <v>Manter e Desenvolver as Atividades da Gerência Especial de Planejamento e Gestão Estratégica</v>
          </cell>
          <cell r="E28" t="str">
            <v>Cumprir as atribuições da  Gerência Especial de Planejamento e Gestão Estratégica conforme atos administrativos do CAU/MG.</v>
          </cell>
          <cell r="F28" t="str">
            <v>Aprimorar e inovar os processos e as ações</v>
          </cell>
          <cell r="G28" t="str">
            <v>17 - Parcerias e meios de implementação</v>
          </cell>
          <cell r="H28" t="str">
            <v>Elaboração dos Planos de Ação; Termos de cooperação técnica com municípios e órgãos públicos; Apoio à Presidência; Acompanhamento dos Indicadores Estratégicos revisados; Elaboração e consolidação das propostas de Programação e Reprogramação Orçamentária; Elaboração e consolidação dos Relatórios de Gestão; Atualização do fluxo de trabalho de processos operacionais padrão (POP).</v>
          </cell>
          <cell r="J28">
            <v>534929.79</v>
          </cell>
        </row>
        <row r="29">
          <cell r="A29" t="str">
            <v>Gerência Geral (Gergel)</v>
          </cell>
          <cell r="B29" t="str">
            <v>P</v>
          </cell>
          <cell r="D29" t="str">
            <v>Eventos Técnicos e Seminários</v>
          </cell>
          <cell r="E29" t="str">
            <v>Promover a arquitetura e urbanismo em Minas Gerais através do contato e participação de profissionais e sociedade.</v>
          </cell>
          <cell r="F29" t="str">
            <v>Estimular o conhecimento, o uso de processos criativos e a difusão das melhores práticas em Arquitetura e Urbanismo</v>
          </cell>
          <cell r="G29" t="str">
            <v>17 - Parcerias e meios de implementação</v>
          </cell>
          <cell r="H29" t="str">
            <v>Realização de eventos de integração e de esclarecimentos para profissionais e sociedade sobre Arquitetura e Urbanismo.</v>
          </cell>
          <cell r="J29">
            <v>80062.17</v>
          </cell>
        </row>
        <row r="30">
          <cell r="A30" t="str">
            <v>Gerência Geral (Gergel)</v>
          </cell>
          <cell r="B30" t="str">
            <v>A</v>
          </cell>
          <cell r="D30" t="str">
            <v>Manter e Desenvolver as Atividades da Gerência Geral</v>
          </cell>
          <cell r="E30" t="str">
            <v>Cumprir as atribuições da Gerência Geral conforme atos administrativos do CAU/MG.</v>
          </cell>
          <cell r="F30" t="str">
            <v>Construir cultura organizacional adequada à estratégia</v>
          </cell>
          <cell r="G30" t="str">
            <v>05 - Igualdade de gênero</v>
          </cell>
          <cell r="H30" t="str">
            <v>Integração das atividades realizadas pelas unidades administrativas do CAU/MG.</v>
          </cell>
          <cell r="J30">
            <v>328676.31</v>
          </cell>
        </row>
        <row r="31">
          <cell r="A31" t="str">
            <v>Gerência Geral (Gergel)</v>
          </cell>
          <cell r="B31" t="str">
            <v>P.</v>
          </cell>
          <cell r="D31" t="str">
            <v>Mudança e Adequação da nova Sede do CAU/MG.</v>
          </cell>
          <cell r="E31" t="str">
            <v>Ocupar espaço físico qualificado e acessível à sociedade para cumprir a finalidade precípua da autarquia.</v>
          </cell>
          <cell r="F31" t="str">
            <v>Ter sistemas de informação e infraestrutura que viabilizem a gestão e o atendimento dos arquitetos e urbanistas e a sociedade</v>
          </cell>
          <cell r="G31" t="str">
            <v>16 - Paz, justiça e instituições eficazes</v>
          </cell>
          <cell r="H31" t="str">
            <v>Ocupação de nova sede que comporte com qualidade seu Quadro de Pessoal projetado, mais atividades e reuniões de seus órgãos colegiados, além de economia financeira com custeios de Sede.</v>
          </cell>
          <cell r="J31">
            <v>0</v>
          </cell>
        </row>
        <row r="32">
          <cell r="A32" t="str">
            <v>Gerência Jurídica (Gerjur)</v>
          </cell>
          <cell r="B32" t="str">
            <v>A</v>
          </cell>
          <cell r="D32" t="str">
            <v>Manter e Desenvolver as Atividades da Gerência Jurídica</v>
          </cell>
          <cell r="E32" t="str">
            <v>Preservar a imagem jurídica do CAU/MG e observar a legalidade dos processos internos.</v>
          </cell>
          <cell r="F32" t="str">
            <v>Aprimorar e inovar os processos e as ações</v>
          </cell>
          <cell r="G32" t="str">
            <v>16 - Paz, justiça e instituições eficazes</v>
          </cell>
          <cell r="H32" t="str">
            <v>Ajuizamento e defesa em ações do CAU/MG na Justiça; Cumprimento dos expedientes de rotina atribuída à Gerência pelos atos normativos do CAU/MG.</v>
          </cell>
          <cell r="J32">
            <v>577954.82000000007</v>
          </cell>
        </row>
        <row r="34">
          <cell r="A34" t="str">
            <v>Gerência Técnica  de Fiscalização (Gertef) - Coordenação Técnica</v>
          </cell>
          <cell r="B34" t="str">
            <v>A</v>
          </cell>
          <cell r="D34" t="str">
            <v>Manter e Desenvolver as Atividades de Coordenação Técnica da Gerência Técnica  de Fiscalização</v>
          </cell>
          <cell r="E34" t="str">
            <v>Manter a regularidade dos registros, anotação de títulos e acervo do profissional.</v>
          </cell>
          <cell r="F34" t="str">
            <v>Assegurar a eficácia no atendimento e no relacionamento com os Arquitetos e Urbanistas e a Sociedade</v>
          </cell>
          <cell r="G34" t="str">
            <v>11 - Cidades e comunidades sustentáveis</v>
          </cell>
          <cell r="H34" t="str">
            <v>Atender solicitações e cumprir os prazos previstos na Carta de Serviços e normativos do CAU/BR; realização do assessoramento de Comissões.</v>
          </cell>
          <cell r="J34">
            <v>1385405.4040000001</v>
          </cell>
        </row>
        <row r="35">
          <cell r="A35" t="str">
            <v>Gerência Técnica  de Fiscalização (Gertef) - Coordenação Fiscalização</v>
          </cell>
          <cell r="B35" t="str">
            <v>A</v>
          </cell>
          <cell r="D35" t="str">
            <v>Manter e Desenvolver as Atividades de Coordenação da Fiscalização da Gerência Técnica  de Fiscalização</v>
          </cell>
          <cell r="E35" t="str">
            <v>Cumprir a finalidade precípua do Conselho, garantindo a fiscalização do exercício profissional.</v>
          </cell>
          <cell r="F35" t="str">
            <v>Tornar a fiscalização um vetor de melhoria do exercício da Arquitetura e Urbanismo</v>
          </cell>
          <cell r="G35" t="str">
            <v>11 - Cidades e comunidades sustentáveis</v>
          </cell>
          <cell r="H35" t="str">
            <v>Planejamento e execução das ações de fiscalização.</v>
          </cell>
          <cell r="J35">
            <v>1268379.9100000001</v>
          </cell>
        </row>
        <row r="36">
          <cell r="A36" t="str">
            <v>Gerência Técnica  de Fiscalização (Gertef) - Rotas</v>
          </cell>
          <cell r="B36" t="str">
            <v>A</v>
          </cell>
          <cell r="D36" t="str">
            <v>Fiscalização Itinerante / Rotas.</v>
          </cell>
          <cell r="E36" t="str">
            <v>Promover a atuação itinerante do CAU/MG e mesmo as ações de fiscalização que envolvam uso de veículo.</v>
          </cell>
          <cell r="F36" t="str">
            <v>Tornar a fiscalização um vetor de melhoria do exercício da Arquitetura e Urbanismo</v>
          </cell>
          <cell r="G36" t="str">
            <v>11 - Cidades e comunidades sustentáveis</v>
          </cell>
          <cell r="H36" t="str">
            <v>Ampliação da atuação da Fiscalização Itinerante do CAU/MG, não apenas nas cidades onde há a presença dos fiscais, mas também em outros municípios mineiros.</v>
          </cell>
          <cell r="J36">
            <v>260000.00400000002</v>
          </cell>
        </row>
        <row r="37">
          <cell r="A37" t="str">
            <v>Presidência</v>
          </cell>
          <cell r="B37" t="str">
            <v>A</v>
          </cell>
          <cell r="D37" t="str">
            <v>Manter e Desenvolver as Atividades da Presidência e dos Conselheiros Federais</v>
          </cell>
          <cell r="E37" t="str">
            <v>Cumprir as competências dos órgãos colegiados conforme Regimento Interno e seu planejamento</v>
          </cell>
          <cell r="F37" t="str">
            <v>Construir cultura organizacional adequada à estratégia</v>
          </cell>
          <cell r="G37" t="str">
            <v>16 - Paz, justiça e instituições eficazes</v>
          </cell>
          <cell r="H37" t="str">
            <v>Representação oficial realizada pela Presidência do CAU/MG e de seus Conselheiros Federais nas reuniões dos órgãos colegiados do CAU/MG; Rotinas administrativas realizadas pela Presidência do CAU/MG.</v>
          </cell>
          <cell r="J37">
            <v>80000</v>
          </cell>
        </row>
        <row r="38">
          <cell r="A38" t="str">
            <v>Presidência</v>
          </cell>
          <cell r="B38" t="str">
            <v>A</v>
          </cell>
          <cell r="D38" t="str">
            <v>Manter e Desenvolver as Atividades de Comissões Temporárias</v>
          </cell>
          <cell r="E38" t="str">
            <v>Garantir a realização de reuniões e ações de Comissões Temporárias instituídas pelo Plenário para atender demandas específicas, conforme Regimento Interno.</v>
          </cell>
          <cell r="F38" t="str">
            <v>Aprimorar e inovar os processos e as ações</v>
          </cell>
          <cell r="G38" t="str">
            <v>16 - Paz, justiça e instituições eficazes</v>
          </cell>
          <cell r="H38" t="str">
            <v>Apresentação de relatório(s) conclusivo(s) dirigido(s) ao órgão proponente pela instituição das Comissões Temporárias, apresentados ao final dos trabalhos de resolução de demanda específica, publicando-os no sítio eletrônico do CAU/MG.</v>
          </cell>
          <cell r="J38">
            <v>12000</v>
          </cell>
        </row>
        <row r="39">
          <cell r="A39" t="str">
            <v>Presidência</v>
          </cell>
          <cell r="B39" t="str">
            <v>P</v>
          </cell>
          <cell r="D39" t="str">
            <v>Representação Institucional do CAU/MG II</v>
          </cell>
          <cell r="E39" t="str">
            <v>Garantir a representação de colaborador ou dirigente do CAU/MG no desenvolvimento de ações ligadas ao planejamento urbano e temáticas afins.</v>
          </cell>
          <cell r="F39" t="str">
            <v>Estimular a produção da Arquitetura e Urbanismo como política de Estado</v>
          </cell>
          <cell r="G39" t="str">
            <v>11 - Cidades e comunidades sustentáveis</v>
          </cell>
          <cell r="H39" t="str">
            <v>Ampliar a presença do CAU/MG nos debates de planejamento urbano e temáticas afins no estado.</v>
          </cell>
          <cell r="J39">
            <v>28000</v>
          </cell>
        </row>
        <row r="40">
          <cell r="A40" t="str">
            <v>Presidência</v>
          </cell>
          <cell r="B40" t="str">
            <v>P</v>
          </cell>
          <cell r="D40" t="str">
            <v>Representação Institucional do CAU/MG I</v>
          </cell>
          <cell r="E40" t="str">
            <v>Garantir a representação de colaborador ou dirigente do CAU/MG no desenvolvimento de ações ligadas ao ensino, formação profissional e ao Código de Ética.</v>
          </cell>
          <cell r="F40" t="str">
            <v>Promover o exercício ético e qualificado da profissão</v>
          </cell>
          <cell r="G40" t="str">
            <v>16 - Paz, justiça e instituições eficazes</v>
          </cell>
          <cell r="H40" t="str">
            <v>Ampliar a presença do CAU/MG em Instituições de Ensino Superior (IES) mineiras e órgãos públicos municipais e do estado.</v>
          </cell>
          <cell r="J40">
            <v>44000</v>
          </cell>
        </row>
        <row r="41">
          <cell r="A41" t="str">
            <v>Presidência</v>
          </cell>
          <cell r="B41" t="str">
            <v>A</v>
          </cell>
          <cell r="D41" t="str">
            <v>Capacitações</v>
          </cell>
          <cell r="E41" t="str">
            <v>Garantir a capacitação de colaboradores e dirigentes, melhorando e ampliando a capacidade técnica desses agentes.</v>
          </cell>
          <cell r="F41" t="str">
            <v>Desenvolver competências de dirigentes e colaboradores</v>
          </cell>
          <cell r="G41" t="str">
            <v>08 - Trabalho decente e crescimento econômico</v>
          </cell>
          <cell r="H41" t="str">
            <v>Capacitação realizada de colaboradores e dirigentes.</v>
          </cell>
          <cell r="J41">
            <v>119283.17000000001</v>
          </cell>
        </row>
        <row r="42">
          <cell r="A42" t="str">
            <v>Presidência</v>
          </cell>
          <cell r="B42" t="str">
            <v>P</v>
          </cell>
          <cell r="D42" t="str">
            <v>Edital de Patrocínio modalidade Patrimônio Cultural</v>
          </cell>
          <cell r="E42" t="str">
            <v>Fomentar atividades que promovam a arquitetura e urbanismo em Minas Gerais.</v>
          </cell>
          <cell r="F42" t="str">
            <v>Estimular o conhecimento, o uso de processos criativos e a difusão das melhores práticas em Arquitetura e Urbanismo</v>
          </cell>
          <cell r="G42" t="str">
            <v>17 - Parcerias e meios de implementação</v>
          </cell>
          <cell r="H42" t="str">
            <v>Lançamento de Edital de Patrocínio, e firmar convênios específicos com o objetivo de valorizar a Arquitetura e Urbanismo em Minas Gerais.</v>
          </cell>
          <cell r="J42">
            <v>150000</v>
          </cell>
        </row>
        <row r="43">
          <cell r="A43" t="str">
            <v>Presidência</v>
          </cell>
          <cell r="B43" t="str">
            <v>P</v>
          </cell>
          <cell r="D43" t="str">
            <v>Edital de Patrocínio - Assistência Técnica para Habitação de Interesse Social (Athis)</v>
          </cell>
          <cell r="E43" t="str">
            <v>Fomentar atividades que promovam a arquitetura e urbanismo em Minas Gerais no campo da Assistência Técnica para a Habitação de Interesse Social (Athis).</v>
          </cell>
          <cell r="F43" t="str">
            <v>Fomentar o acesso da sociedade à Arquitetura e Urbanismo</v>
          </cell>
          <cell r="G43" t="str">
            <v>11 - Cidades e comunidades sustentáveis</v>
          </cell>
          <cell r="H43" t="str">
            <v>Lançamento de Edital de Patrocínio, e firmar convênios específicos com o objetivo de valorizar a Arquitetura e Urbanismo em Minas Gerais.</v>
          </cell>
          <cell r="J43">
            <v>300000</v>
          </cell>
        </row>
        <row r="44">
          <cell r="A44" t="str">
            <v>Secretaria Geral</v>
          </cell>
          <cell r="B44" t="str">
            <v>A</v>
          </cell>
          <cell r="D44" t="str">
            <v>Manter e Desenvolver as Atividades da Secretaria Geral</v>
          </cell>
          <cell r="E44" t="str">
            <v>Cumprir as atribuições da Secretaria Geral conforme atos administrativos do CAU/MG.</v>
          </cell>
          <cell r="F44" t="str">
            <v>Aprimorar e inovar os processos e as ações</v>
          </cell>
          <cell r="G44" t="str">
            <v>16 - Paz, justiça e instituições eficazes</v>
          </cell>
          <cell r="H44" t="str">
            <v>Documentos e correspondências oficiais elaborados; gestão documental da Presidência realizada; cotação de preços realizada.</v>
          </cell>
          <cell r="J44">
            <v>415780.14600000001</v>
          </cell>
        </row>
      </sheetData>
      <sheetData sheetId="6">
        <row r="5">
          <cell r="E5">
            <v>10121554.399999999</v>
          </cell>
          <cell r="L5">
            <v>5964158.709999999</v>
          </cell>
        </row>
        <row r="6">
          <cell r="E6">
            <v>0</v>
          </cell>
          <cell r="L6">
            <v>1062066.25</v>
          </cell>
        </row>
        <row r="7">
          <cell r="E7">
            <v>10121554.399999999</v>
          </cell>
          <cell r="L7">
            <v>10359138.999999998</v>
          </cell>
        </row>
        <row r="8">
          <cell r="E8">
            <v>257042.4</v>
          </cell>
        </row>
        <row r="9">
          <cell r="E9">
            <v>9864511.9999999981</v>
          </cell>
        </row>
        <row r="12">
          <cell r="E12">
            <v>2258612.7066239477</v>
          </cell>
          <cell r="L12">
            <v>4902092.459999999</v>
          </cell>
        </row>
        <row r="13">
          <cell r="E13">
            <v>0.22896345066273407</v>
          </cell>
          <cell r="L13">
            <v>0.47321427581964098</v>
          </cell>
        </row>
        <row r="14">
          <cell r="E14">
            <v>1458321.4820307023</v>
          </cell>
          <cell r="L14">
            <v>119283.17000000001</v>
          </cell>
        </row>
        <row r="15">
          <cell r="E15">
            <v>0.14783513690598202</v>
          </cell>
          <cell r="L15">
            <v>1.9999999295793394E-2</v>
          </cell>
        </row>
        <row r="16">
          <cell r="E16">
            <v>884317.07400000002</v>
          </cell>
        </row>
        <row r="17">
          <cell r="E17">
            <v>8.9646307288186192E-2</v>
          </cell>
        </row>
        <row r="18">
          <cell r="E18">
            <v>250000</v>
          </cell>
        </row>
        <row r="19">
          <cell r="E19">
            <v>2.5343372282379508E-2</v>
          </cell>
        </row>
        <row r="20">
          <cell r="E20">
            <v>2819044.0000000005</v>
          </cell>
        </row>
        <row r="21">
          <cell r="E21">
            <v>0.28577632628963306</v>
          </cell>
        </row>
        <row r="22">
          <cell r="E22">
            <v>300000</v>
          </cell>
        </row>
        <row r="23">
          <cell r="E23">
            <v>3.0412046738855409E-2</v>
          </cell>
        </row>
        <row r="24">
          <cell r="E24">
            <v>80000</v>
          </cell>
        </row>
        <row r="25">
          <cell r="E25">
            <v>8.1098791303614425E-3</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Escritório">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hyperlink" Target="https://transparencia.caubr.gov.br/deliberacao-plenaria-dpobr-0097-08-a/" TargetMode="External"/><Relationship Id="rId2" Type="http://schemas.openxmlformats.org/officeDocument/2006/relationships/hyperlink" Target="https://transparencia.caubr.gov.br/resolucao193/" TargetMode="External"/><Relationship Id="rId1" Type="http://schemas.openxmlformats.org/officeDocument/2006/relationships/hyperlink" Target="https://transparencia.caubr.gov.br/resolucao200/" TargetMode="External"/><Relationship Id="rId6" Type="http://schemas.openxmlformats.org/officeDocument/2006/relationships/drawing" Target="../drawings/drawing1.xml"/><Relationship Id="rId5" Type="http://schemas.openxmlformats.org/officeDocument/2006/relationships/printerSettings" Target="../printerSettings/printerSettings3.bin"/><Relationship Id="rId4" Type="http://schemas.openxmlformats.org/officeDocument/2006/relationships/hyperlink" Target="https://transparencia.caubr.gov.br/deliberacaoplenaria-dpobr-0084-03/" TargetMode="Externa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4.bin"/><Relationship Id="rId5" Type="http://schemas.openxmlformats.org/officeDocument/2006/relationships/image" Target="../media/image2.emf"/><Relationship Id="rId4" Type="http://schemas.openxmlformats.org/officeDocument/2006/relationships/package" Target="../embeddings/Microsoft_PowerPoint_Slide.sldx"/></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Q21"/>
  <sheetViews>
    <sheetView zoomScale="30" zoomScaleNormal="30" workbookViewId="0">
      <selection activeCell="Q23" sqref="Q23"/>
    </sheetView>
  </sheetViews>
  <sheetFormatPr defaultRowHeight="64.5" x14ac:dyDescent="0.95"/>
  <cols>
    <col min="1" max="1" width="9.140625" style="61"/>
    <col min="2" max="2" width="94.85546875" style="61" bestFit="1" customWidth="1"/>
    <col min="3" max="4" width="9.140625" style="61"/>
    <col min="5" max="5" width="39.5703125" style="61" customWidth="1"/>
    <col min="6" max="6" width="59.5703125" style="61" customWidth="1"/>
    <col min="7" max="13" width="9.140625" style="61"/>
    <col min="14" max="14" width="97.28515625" style="61" customWidth="1"/>
    <col min="15" max="16" width="9.140625" style="61"/>
    <col min="17" max="17" width="255.7109375" style="63" bestFit="1" customWidth="1"/>
    <col min="18" max="16384" width="9.140625" style="61"/>
  </cols>
  <sheetData>
    <row r="1" spans="1:17" x14ac:dyDescent="0.95">
      <c r="A1" s="56"/>
      <c r="B1" s="57" t="s">
        <v>103</v>
      </c>
      <c r="C1" s="55"/>
      <c r="D1" s="55"/>
      <c r="E1" s="55"/>
      <c r="F1" s="76" t="s">
        <v>75</v>
      </c>
      <c r="G1" s="55"/>
      <c r="H1" s="56"/>
      <c r="I1" s="56"/>
      <c r="N1" s="77" t="s">
        <v>178</v>
      </c>
      <c r="Q1" s="219" t="s">
        <v>36</v>
      </c>
    </row>
    <row r="2" spans="1:17" x14ac:dyDescent="0.95">
      <c r="A2" s="56"/>
      <c r="B2" s="57" t="s">
        <v>111</v>
      </c>
      <c r="C2" s="55"/>
      <c r="D2" s="55"/>
      <c r="E2" s="55"/>
      <c r="F2" s="76" t="s">
        <v>49</v>
      </c>
      <c r="G2" s="55"/>
      <c r="H2" s="56"/>
      <c r="I2" s="56"/>
      <c r="N2" s="77" t="s">
        <v>179</v>
      </c>
      <c r="Q2" s="219" t="s">
        <v>129</v>
      </c>
    </row>
    <row r="3" spans="1:17" x14ac:dyDescent="0.95">
      <c r="A3" s="56"/>
      <c r="B3" s="57" t="s">
        <v>112</v>
      </c>
      <c r="C3" s="55"/>
      <c r="D3" s="55"/>
      <c r="E3" s="55"/>
      <c r="F3" s="500" t="s">
        <v>44</v>
      </c>
      <c r="G3" s="55"/>
      <c r="H3" s="56"/>
      <c r="I3" s="56"/>
      <c r="N3" s="77" t="s">
        <v>132</v>
      </c>
      <c r="Q3" s="219" t="s">
        <v>32</v>
      </c>
    </row>
    <row r="4" spans="1:17" x14ac:dyDescent="0.95">
      <c r="A4" s="56"/>
      <c r="B4" s="57" t="s">
        <v>113</v>
      </c>
      <c r="C4" s="55"/>
      <c r="D4" s="55"/>
      <c r="E4" s="55"/>
      <c r="F4" s="500"/>
      <c r="G4" s="55"/>
      <c r="H4" s="56"/>
      <c r="I4" s="56"/>
      <c r="N4" s="77" t="s">
        <v>133</v>
      </c>
      <c r="Q4" s="219" t="s">
        <v>35</v>
      </c>
    </row>
    <row r="5" spans="1:17" x14ac:dyDescent="0.95">
      <c r="A5" s="56"/>
      <c r="B5" s="57" t="s">
        <v>104</v>
      </c>
      <c r="C5" s="55"/>
      <c r="D5" s="55"/>
      <c r="E5" s="55"/>
      <c r="F5" s="78" t="s">
        <v>169</v>
      </c>
      <c r="G5" s="55"/>
      <c r="H5" s="56"/>
      <c r="I5" s="56"/>
      <c r="N5" s="60" t="s">
        <v>135</v>
      </c>
      <c r="Q5" s="219" t="s">
        <v>38</v>
      </c>
    </row>
    <row r="6" spans="1:17" x14ac:dyDescent="0.95">
      <c r="A6" s="56"/>
      <c r="B6" s="57" t="s">
        <v>114</v>
      </c>
      <c r="C6" s="55"/>
      <c r="D6" s="55"/>
      <c r="E6" s="55"/>
      <c r="F6" s="78" t="s">
        <v>170</v>
      </c>
      <c r="G6" s="55"/>
      <c r="H6" s="56"/>
      <c r="I6" s="56"/>
      <c r="N6" s="60" t="s">
        <v>136</v>
      </c>
      <c r="Q6" s="219" t="s">
        <v>37</v>
      </c>
    </row>
    <row r="7" spans="1:17" x14ac:dyDescent="0.95">
      <c r="A7" s="56"/>
      <c r="B7" s="57" t="s">
        <v>123</v>
      </c>
      <c r="C7" s="55"/>
      <c r="D7" s="55"/>
      <c r="E7" s="55"/>
      <c r="F7" s="78" t="s">
        <v>171</v>
      </c>
      <c r="G7" s="55"/>
      <c r="H7" s="56"/>
      <c r="I7" s="56"/>
      <c r="N7" s="60" t="s">
        <v>138</v>
      </c>
      <c r="Q7" s="219" t="s">
        <v>140</v>
      </c>
    </row>
    <row r="8" spans="1:17" x14ac:dyDescent="0.95">
      <c r="A8" s="56"/>
      <c r="B8" s="57" t="s">
        <v>105</v>
      </c>
      <c r="C8" s="55"/>
      <c r="D8" s="55"/>
      <c r="E8" s="55"/>
      <c r="F8" s="78" t="s">
        <v>172</v>
      </c>
      <c r="G8" s="55"/>
      <c r="H8" s="56"/>
      <c r="I8" s="56"/>
      <c r="N8" s="77" t="s">
        <v>141</v>
      </c>
      <c r="Q8" s="219" t="s">
        <v>29</v>
      </c>
    </row>
    <row r="9" spans="1:17" x14ac:dyDescent="0.95">
      <c r="A9" s="56"/>
      <c r="B9" s="57" t="s">
        <v>115</v>
      </c>
      <c r="C9" s="55"/>
      <c r="D9" s="55"/>
      <c r="E9" s="55"/>
      <c r="F9" s="78" t="s">
        <v>173</v>
      </c>
      <c r="G9" s="55"/>
      <c r="H9" s="56"/>
      <c r="I9" s="56"/>
      <c r="N9" s="77" t="s">
        <v>143</v>
      </c>
      <c r="Q9" s="219" t="s">
        <v>34</v>
      </c>
    </row>
    <row r="10" spans="1:17" x14ac:dyDescent="0.95">
      <c r="A10" s="56"/>
      <c r="B10" s="57" t="s">
        <v>106</v>
      </c>
      <c r="C10" s="55"/>
      <c r="D10" s="55"/>
      <c r="E10" s="55"/>
      <c r="F10" s="78" t="s">
        <v>184</v>
      </c>
      <c r="G10" s="55"/>
      <c r="H10" s="56"/>
      <c r="I10" s="56"/>
      <c r="N10" s="60" t="s">
        <v>145</v>
      </c>
      <c r="Q10" s="219" t="s">
        <v>181</v>
      </c>
    </row>
    <row r="11" spans="1:17" x14ac:dyDescent="0.95">
      <c r="A11" s="56"/>
      <c r="B11" s="57" t="s">
        <v>107</v>
      </c>
      <c r="C11" s="55"/>
      <c r="D11" s="55"/>
      <c r="E11" s="55"/>
      <c r="F11" s="79" t="s">
        <v>46</v>
      </c>
      <c r="G11" s="55"/>
      <c r="H11" s="56"/>
      <c r="I11" s="56"/>
      <c r="N11" s="77" t="s">
        <v>146</v>
      </c>
      <c r="Q11" s="219" t="s">
        <v>26</v>
      </c>
    </row>
    <row r="12" spans="1:17" x14ac:dyDescent="0.95">
      <c r="A12" s="56"/>
      <c r="B12" s="57" t="s">
        <v>116</v>
      </c>
      <c r="C12" s="55"/>
      <c r="D12" s="55"/>
      <c r="E12" s="55"/>
      <c r="F12" s="79" t="s">
        <v>2</v>
      </c>
      <c r="G12" s="55"/>
      <c r="H12" s="56"/>
      <c r="I12" s="56"/>
      <c r="N12" s="77" t="s">
        <v>148</v>
      </c>
      <c r="Q12" s="219" t="s">
        <v>150</v>
      </c>
    </row>
    <row r="13" spans="1:17" x14ac:dyDescent="0.95">
      <c r="A13" s="56"/>
      <c r="B13" s="57" t="s">
        <v>117</v>
      </c>
      <c r="C13" s="55"/>
      <c r="D13" s="55"/>
      <c r="E13" s="55"/>
      <c r="F13" s="55"/>
      <c r="G13" s="55"/>
      <c r="H13" s="56"/>
      <c r="I13" s="56"/>
      <c r="N13" s="60" t="s">
        <v>151</v>
      </c>
      <c r="Q13" s="219" t="s">
        <v>33</v>
      </c>
    </row>
    <row r="14" spans="1:17" x14ac:dyDescent="0.95">
      <c r="A14" s="56"/>
      <c r="B14" s="57" t="s">
        <v>108</v>
      </c>
      <c r="C14" s="55"/>
      <c r="D14" s="55"/>
      <c r="E14" s="55"/>
      <c r="F14" s="55"/>
      <c r="G14" s="55"/>
      <c r="H14" s="56"/>
      <c r="I14" s="56"/>
      <c r="N14" s="60" t="s">
        <v>153</v>
      </c>
      <c r="Q14" s="219" t="s">
        <v>39</v>
      </c>
    </row>
    <row r="15" spans="1:17" ht="75" customHeight="1" x14ac:dyDescent="0.95">
      <c r="A15" s="56"/>
      <c r="B15" s="57" t="s">
        <v>118</v>
      </c>
      <c r="C15" s="55"/>
      <c r="D15" s="55"/>
      <c r="E15" s="55"/>
      <c r="F15" s="55"/>
      <c r="G15" s="55"/>
      <c r="H15" s="56"/>
      <c r="I15" s="56"/>
      <c r="N15" s="77" t="s">
        <v>155</v>
      </c>
      <c r="Q15" s="219" t="s">
        <v>27</v>
      </c>
    </row>
    <row r="16" spans="1:17" x14ac:dyDescent="0.95">
      <c r="A16" s="56"/>
      <c r="B16" s="57" t="s">
        <v>109</v>
      </c>
      <c r="C16" s="55"/>
      <c r="D16" s="55"/>
      <c r="E16" s="55"/>
      <c r="F16" s="55"/>
      <c r="G16" s="55"/>
      <c r="H16" s="56"/>
      <c r="I16" s="56"/>
      <c r="N16" s="77" t="s">
        <v>157</v>
      </c>
      <c r="Q16" s="219" t="s">
        <v>180</v>
      </c>
    </row>
    <row r="17" spans="1:14" x14ac:dyDescent="0.95">
      <c r="A17" s="56"/>
      <c r="B17" s="57" t="s">
        <v>110</v>
      </c>
      <c r="C17" s="55"/>
      <c r="D17" s="55"/>
      <c r="E17" s="55"/>
      <c r="F17" s="55"/>
      <c r="G17" s="55"/>
      <c r="H17" s="56"/>
      <c r="I17" s="56"/>
      <c r="N17" s="77" t="s">
        <v>159</v>
      </c>
    </row>
    <row r="18" spans="1:14" x14ac:dyDescent="0.95">
      <c r="A18" s="56"/>
      <c r="C18" s="55"/>
      <c r="D18" s="55"/>
      <c r="E18" s="55"/>
      <c r="F18" s="55"/>
      <c r="G18" s="55"/>
      <c r="H18" s="56"/>
      <c r="I18" s="56"/>
      <c r="N18" s="60" t="s">
        <v>161</v>
      </c>
    </row>
    <row r="19" spans="1:14" x14ac:dyDescent="0.95">
      <c r="N19" s="60" t="s">
        <v>163</v>
      </c>
    </row>
    <row r="20" spans="1:14" x14ac:dyDescent="0.95">
      <c r="N20" s="60" t="s">
        <v>165</v>
      </c>
    </row>
    <row r="21" spans="1:14" x14ac:dyDescent="0.95">
      <c r="N21" s="60" t="s">
        <v>167</v>
      </c>
    </row>
  </sheetData>
  <mergeCells count="1">
    <mergeCell ref="F3:F4"/>
  </mergeCells>
  <pageMargins left="0.511811024" right="0.511811024" top="0.78740157499999996" bottom="0.78740157499999996" header="0.31496062000000002" footer="0.31496062000000002"/>
  <pageSetup paperSize="28" orientation="portrait" verticalDpi="0"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777777"/>
  </sheetPr>
  <dimension ref="A1:AP721"/>
  <sheetViews>
    <sheetView showGridLines="0" zoomScale="50" zoomScaleNormal="50" zoomScaleSheetLayoutView="80" workbookViewId="0">
      <selection activeCell="E104" sqref="E104"/>
    </sheetView>
  </sheetViews>
  <sheetFormatPr defaultColWidth="36.85546875" defaultRowHeight="26.25" x14ac:dyDescent="0.4"/>
  <cols>
    <col min="1" max="1" width="36.85546875" style="16"/>
    <col min="2" max="2" width="134" style="16" customWidth="1"/>
    <col min="3" max="3" width="31.7109375" style="16" customWidth="1"/>
    <col min="4" max="4" width="34.28515625" style="16" customWidth="1"/>
    <col min="5" max="5" width="38.28515625" style="16" customWidth="1"/>
    <col min="6" max="6" width="27.5703125" style="16" customWidth="1"/>
    <col min="7" max="7" width="27.7109375" style="16" customWidth="1"/>
    <col min="8" max="8" width="22.5703125" style="16" customWidth="1"/>
    <col min="9" max="9" width="27.7109375" style="17" customWidth="1"/>
    <col min="10" max="10" width="27.28515625" style="17" bestFit="1" customWidth="1"/>
    <col min="11" max="11" width="186.85546875" style="16" bestFit="1" customWidth="1"/>
    <col min="12" max="16384" width="36.85546875" style="16"/>
  </cols>
  <sheetData>
    <row r="1" spans="1:42" x14ac:dyDescent="0.4">
      <c r="A1" s="784" t="s">
        <v>296</v>
      </c>
      <c r="B1" s="784"/>
      <c r="C1" s="784"/>
      <c r="D1" s="784"/>
      <c r="E1" s="784"/>
      <c r="F1" s="784"/>
      <c r="G1" s="784"/>
      <c r="H1" s="784"/>
      <c r="I1" s="784"/>
      <c r="J1" s="784"/>
    </row>
    <row r="2" spans="1:42" x14ac:dyDescent="0.4">
      <c r="A2" s="785" t="s">
        <v>284</v>
      </c>
      <c r="B2" s="785"/>
      <c r="C2" s="785"/>
      <c r="D2" s="785"/>
      <c r="E2" s="785"/>
      <c r="F2" s="785"/>
      <c r="G2" s="785"/>
      <c r="H2" s="785"/>
      <c r="I2" s="785"/>
      <c r="J2" s="786"/>
    </row>
    <row r="3" spans="1:42" ht="28.5" x14ac:dyDescent="0.4">
      <c r="A3" s="763" t="s">
        <v>77</v>
      </c>
      <c r="B3" s="757"/>
      <c r="C3" s="752" t="s">
        <v>589</v>
      </c>
      <c r="D3" s="753"/>
      <c r="E3" s="753"/>
      <c r="F3" s="753"/>
      <c r="G3" s="753"/>
      <c r="H3" s="753"/>
      <c r="I3" s="753"/>
      <c r="J3" s="754"/>
      <c r="P3" s="57"/>
      <c r="Q3" s="55"/>
      <c r="R3" s="55"/>
      <c r="S3" s="55"/>
      <c r="T3" s="55"/>
      <c r="U3" s="55"/>
      <c r="V3" s="55"/>
      <c r="W3" s="55"/>
      <c r="X3" s="55"/>
      <c r="Y3" s="55"/>
    </row>
    <row r="4" spans="1:42" ht="28.5" x14ac:dyDescent="0.4">
      <c r="A4" s="757" t="s">
        <v>41</v>
      </c>
      <c r="B4" s="757"/>
      <c r="C4" s="752" t="s">
        <v>32</v>
      </c>
      <c r="D4" s="753"/>
      <c r="E4" s="753"/>
      <c r="F4" s="753"/>
      <c r="G4" s="753"/>
      <c r="H4" s="753"/>
      <c r="I4" s="753"/>
      <c r="J4" s="754"/>
      <c r="X4" s="55"/>
      <c r="Y4" s="55"/>
    </row>
    <row r="5" spans="1:42" s="128" customFormat="1" x14ac:dyDescent="0.4">
      <c r="A5" s="70"/>
      <c r="B5" s="70"/>
      <c r="C5" s="70"/>
      <c r="D5" s="68"/>
      <c r="E5" s="68"/>
      <c r="F5" s="68"/>
      <c r="G5" s="68"/>
      <c r="H5" s="68"/>
      <c r="I5" s="68" t="s">
        <v>208</v>
      </c>
      <c r="J5" s="68"/>
      <c r="P5" s="71"/>
      <c r="Q5" s="72"/>
      <c r="R5" s="72"/>
      <c r="S5" s="72"/>
      <c r="T5" s="72"/>
      <c r="U5" s="72"/>
      <c r="V5" s="72"/>
      <c r="W5" s="72"/>
      <c r="X5" s="72"/>
      <c r="Y5" s="72"/>
    </row>
    <row r="6" spans="1:42" x14ac:dyDescent="0.4">
      <c r="A6" s="758" t="s">
        <v>285</v>
      </c>
      <c r="B6" s="759"/>
      <c r="C6" s="759"/>
      <c r="D6" s="758" t="s">
        <v>286</v>
      </c>
      <c r="E6" s="759"/>
      <c r="F6" s="759"/>
      <c r="G6" s="759"/>
      <c r="H6" s="760"/>
      <c r="I6" s="764" t="s">
        <v>209</v>
      </c>
      <c r="J6" s="765"/>
      <c r="O6" s="72"/>
      <c r="P6" s="72"/>
      <c r="Q6" s="72"/>
      <c r="R6" s="72"/>
      <c r="S6" s="72"/>
      <c r="T6" s="72"/>
      <c r="U6" s="72"/>
      <c r="V6" s="72"/>
      <c r="W6" s="55"/>
      <c r="X6" s="55"/>
      <c r="Y6" s="55"/>
    </row>
    <row r="7" spans="1:42" x14ac:dyDescent="0.4">
      <c r="A7" s="758" t="s">
        <v>83</v>
      </c>
      <c r="B7" s="759"/>
      <c r="C7" s="760"/>
      <c r="D7" s="766" t="s">
        <v>297</v>
      </c>
      <c r="E7" s="758" t="s">
        <v>298</v>
      </c>
      <c r="F7" s="759"/>
      <c r="G7" s="760"/>
      <c r="H7" s="768" t="s">
        <v>299</v>
      </c>
      <c r="I7" s="761" t="s">
        <v>300</v>
      </c>
      <c r="J7" s="761" t="s">
        <v>301</v>
      </c>
      <c r="O7" s="72"/>
      <c r="P7" s="72"/>
      <c r="Q7" s="72"/>
      <c r="R7" s="72"/>
      <c r="S7" s="72"/>
      <c r="T7" s="72"/>
      <c r="U7" s="72"/>
      <c r="V7" s="72"/>
      <c r="W7" s="55"/>
      <c r="X7" s="55"/>
      <c r="Y7" s="55"/>
    </row>
    <row r="8" spans="1:42" ht="78.75" x14ac:dyDescent="0.4">
      <c r="A8" s="129" t="s">
        <v>183</v>
      </c>
      <c r="B8" s="129" t="s">
        <v>182</v>
      </c>
      <c r="C8" s="130" t="s">
        <v>124</v>
      </c>
      <c r="D8" s="767"/>
      <c r="E8" s="129" t="s">
        <v>692</v>
      </c>
      <c r="F8" s="129" t="s">
        <v>693</v>
      </c>
      <c r="G8" s="129" t="s">
        <v>192</v>
      </c>
      <c r="H8" s="768"/>
      <c r="I8" s="762"/>
      <c r="J8" s="762"/>
      <c r="O8" s="72"/>
      <c r="P8" s="72"/>
      <c r="Q8" s="72"/>
      <c r="R8" s="72"/>
      <c r="S8" s="72"/>
      <c r="T8" s="72"/>
      <c r="U8" s="72"/>
      <c r="V8" s="72"/>
      <c r="W8" s="55"/>
      <c r="X8" s="55"/>
      <c r="Y8" s="55"/>
      <c r="AP8" s="16" t="s">
        <v>85</v>
      </c>
    </row>
    <row r="9" spans="1:42" ht="131.25" x14ac:dyDescent="0.4">
      <c r="A9" s="190">
        <v>1</v>
      </c>
      <c r="B9" s="172" t="s">
        <v>316</v>
      </c>
      <c r="C9" s="29" t="s">
        <v>178</v>
      </c>
      <c r="D9" s="175">
        <v>252916.82</v>
      </c>
      <c r="E9" s="249">
        <v>106189.49</v>
      </c>
      <c r="F9" s="168">
        <v>199178.22038250003</v>
      </c>
      <c r="G9" s="147">
        <f>E9+F9</f>
        <v>305367.71038250002</v>
      </c>
      <c r="H9" s="132">
        <f>IFERROR(G9/D9*100-100,0)</f>
        <v>20.738395486112779</v>
      </c>
      <c r="I9" s="169"/>
      <c r="J9" s="170"/>
      <c r="K9" s="171"/>
      <c r="L9" s="205"/>
      <c r="O9" s="72"/>
      <c r="P9" s="57"/>
      <c r="Q9" s="55"/>
      <c r="R9" s="55"/>
      <c r="S9" s="55"/>
      <c r="T9" s="55"/>
      <c r="U9" s="55"/>
      <c r="V9" s="55"/>
      <c r="W9" s="55"/>
      <c r="X9" s="55"/>
      <c r="Y9" s="55"/>
    </row>
    <row r="10" spans="1:42" ht="131.25" x14ac:dyDescent="0.4">
      <c r="A10" s="190">
        <v>1</v>
      </c>
      <c r="B10" s="172" t="s">
        <v>317</v>
      </c>
      <c r="C10" s="29" t="s">
        <v>178</v>
      </c>
      <c r="D10" s="175">
        <v>2000</v>
      </c>
      <c r="E10" s="131"/>
      <c r="F10" s="131"/>
      <c r="G10" s="147">
        <f t="shared" ref="G10:G16" si="0">E10+F10</f>
        <v>0</v>
      </c>
      <c r="H10" s="132">
        <f t="shared" ref="H10:H16" si="1">IFERROR(G10/D10*100-100,0)</f>
        <v>-100</v>
      </c>
      <c r="I10" s="133"/>
      <c r="J10" s="148">
        <f t="shared" ref="J10:J17" si="2">IFERROR(I10/G10*100,)</f>
        <v>0</v>
      </c>
      <c r="O10" s="72"/>
      <c r="P10" s="57"/>
      <c r="Q10" s="55"/>
      <c r="R10" s="55"/>
      <c r="S10" s="55"/>
      <c r="T10" s="55"/>
      <c r="U10" s="55"/>
      <c r="V10" s="55"/>
      <c r="W10" s="55"/>
      <c r="X10" s="55"/>
      <c r="Y10" s="55"/>
      <c r="AP10" s="16" t="s">
        <v>120</v>
      </c>
    </row>
    <row r="11" spans="1:42" ht="131.25" x14ac:dyDescent="0.4">
      <c r="A11" s="190">
        <v>1</v>
      </c>
      <c r="B11" s="172" t="s">
        <v>318</v>
      </c>
      <c r="C11" s="29" t="s">
        <v>178</v>
      </c>
      <c r="D11" s="175">
        <v>16606.14</v>
      </c>
      <c r="E11" s="131"/>
      <c r="F11" s="247">
        <v>500</v>
      </c>
      <c r="G11" s="147">
        <f t="shared" si="0"/>
        <v>500</v>
      </c>
      <c r="H11" s="132">
        <f t="shared" si="1"/>
        <v>-96.989065490234339</v>
      </c>
      <c r="I11" s="133"/>
      <c r="J11" s="148">
        <f t="shared" si="2"/>
        <v>0</v>
      </c>
      <c r="P11" s="57"/>
      <c r="Q11" s="55"/>
      <c r="R11" s="55"/>
      <c r="S11" s="55"/>
      <c r="T11" s="55"/>
      <c r="U11" s="55"/>
      <c r="V11" s="55"/>
      <c r="W11" s="55"/>
      <c r="X11" s="55"/>
      <c r="Y11" s="55"/>
      <c r="AP11" s="16" t="s">
        <v>205</v>
      </c>
    </row>
    <row r="12" spans="1:42" ht="52.5" x14ac:dyDescent="0.4">
      <c r="A12" s="188">
        <v>1</v>
      </c>
      <c r="B12" s="173" t="s">
        <v>319</v>
      </c>
      <c r="C12" s="29" t="s">
        <v>135</v>
      </c>
      <c r="D12" s="176">
        <v>0</v>
      </c>
      <c r="E12" s="131">
        <v>0</v>
      </c>
      <c r="F12" s="247">
        <v>0</v>
      </c>
      <c r="G12" s="147">
        <f t="shared" si="0"/>
        <v>0</v>
      </c>
      <c r="H12" s="132">
        <f t="shared" si="1"/>
        <v>0</v>
      </c>
      <c r="I12" s="133"/>
      <c r="J12" s="148">
        <f t="shared" si="2"/>
        <v>0</v>
      </c>
      <c r="P12" s="57"/>
      <c r="Q12" s="55"/>
      <c r="R12" s="55"/>
      <c r="S12" s="55"/>
      <c r="T12" s="55"/>
      <c r="U12" s="55"/>
      <c r="V12" s="55"/>
      <c r="W12" s="55"/>
      <c r="X12" s="55"/>
      <c r="Y12" s="55"/>
    </row>
    <row r="13" spans="1:42" ht="52.5" x14ac:dyDescent="0.4">
      <c r="A13" s="188">
        <v>1</v>
      </c>
      <c r="B13" s="173" t="s">
        <v>320</v>
      </c>
      <c r="C13" s="29" t="s">
        <v>135</v>
      </c>
      <c r="D13" s="175">
        <v>40963.133999999998</v>
      </c>
      <c r="E13" s="131"/>
      <c r="F13" s="247">
        <v>48000</v>
      </c>
      <c r="G13" s="147">
        <f t="shared" si="0"/>
        <v>48000</v>
      </c>
      <c r="H13" s="132">
        <f t="shared" si="1"/>
        <v>17.178534240080353</v>
      </c>
      <c r="I13" s="133"/>
      <c r="J13" s="148">
        <f t="shared" si="2"/>
        <v>0</v>
      </c>
      <c r="P13" s="57"/>
      <c r="Q13" s="55"/>
      <c r="R13" s="55"/>
      <c r="S13" s="55"/>
      <c r="T13" s="55"/>
      <c r="U13" s="55"/>
      <c r="V13" s="55"/>
      <c r="W13" s="55"/>
      <c r="X13" s="55"/>
      <c r="Y13" s="55"/>
    </row>
    <row r="14" spans="1:42" ht="78.75" x14ac:dyDescent="0.4">
      <c r="A14" s="188">
        <v>1</v>
      </c>
      <c r="B14" s="173" t="s">
        <v>321</v>
      </c>
      <c r="C14" s="29" t="s">
        <v>161</v>
      </c>
      <c r="D14" s="175">
        <v>50000</v>
      </c>
      <c r="E14" s="131"/>
      <c r="F14" s="247">
        <v>12000</v>
      </c>
      <c r="G14" s="147">
        <f t="shared" si="0"/>
        <v>12000</v>
      </c>
      <c r="H14" s="132">
        <f t="shared" si="1"/>
        <v>-76</v>
      </c>
      <c r="I14" s="133"/>
      <c r="J14" s="148">
        <f t="shared" si="2"/>
        <v>0</v>
      </c>
      <c r="P14" s="55"/>
      <c r="Q14" s="55"/>
      <c r="R14" s="55"/>
      <c r="S14" s="55"/>
      <c r="T14" s="55"/>
      <c r="U14" s="55"/>
      <c r="V14" s="55"/>
      <c r="W14" s="55"/>
      <c r="X14" s="55"/>
      <c r="Y14" s="55"/>
    </row>
    <row r="15" spans="1:42" ht="157.5" x14ac:dyDescent="0.4">
      <c r="A15" s="188">
        <v>1</v>
      </c>
      <c r="B15" s="174" t="s">
        <v>322</v>
      </c>
      <c r="C15" s="29" t="s">
        <v>135</v>
      </c>
      <c r="D15" s="131">
        <v>0</v>
      </c>
      <c r="E15" s="131"/>
      <c r="F15" s="248">
        <v>40000</v>
      </c>
      <c r="G15" s="147">
        <f t="shared" si="0"/>
        <v>40000</v>
      </c>
      <c r="H15" s="132">
        <f t="shared" si="1"/>
        <v>0</v>
      </c>
      <c r="I15" s="133"/>
      <c r="J15" s="148">
        <f t="shared" si="2"/>
        <v>0</v>
      </c>
      <c r="P15" s="55"/>
      <c r="Q15" s="55"/>
      <c r="R15" s="55"/>
      <c r="S15" s="55"/>
      <c r="T15" s="55"/>
      <c r="U15" s="55"/>
      <c r="V15" s="55"/>
      <c r="W15" s="55"/>
      <c r="X15" s="55"/>
      <c r="Y15" s="55"/>
    </row>
    <row r="16" spans="1:42" ht="131.25" x14ac:dyDescent="0.4">
      <c r="A16" s="188">
        <v>1</v>
      </c>
      <c r="B16" s="174" t="s">
        <v>753</v>
      </c>
      <c r="C16" s="29" t="s">
        <v>135</v>
      </c>
      <c r="D16" s="131">
        <v>0</v>
      </c>
      <c r="E16" s="131">
        <v>0</v>
      </c>
      <c r="F16" s="131">
        <v>0</v>
      </c>
      <c r="G16" s="147">
        <f t="shared" si="0"/>
        <v>0</v>
      </c>
      <c r="H16" s="132">
        <f t="shared" si="1"/>
        <v>0</v>
      </c>
      <c r="I16" s="133"/>
      <c r="J16" s="148">
        <f t="shared" si="2"/>
        <v>0</v>
      </c>
      <c r="P16" s="134"/>
    </row>
    <row r="17" spans="1:15" s="135" customFormat="1" x14ac:dyDescent="0.25">
      <c r="A17" s="780" t="s">
        <v>0</v>
      </c>
      <c r="B17" s="780"/>
      <c r="C17" s="780"/>
      <c r="D17" s="120">
        <f>SUM(D9:D16)</f>
        <v>362486.09400000004</v>
      </c>
      <c r="E17" s="120">
        <f>SUM(E9:E16)</f>
        <v>106189.49</v>
      </c>
      <c r="F17" s="120">
        <f>SUM(F9:F16)</f>
        <v>299678.22038250003</v>
      </c>
      <c r="G17" s="120">
        <f>SUM(G9:G16)</f>
        <v>405867.71038250002</v>
      </c>
      <c r="H17" s="120">
        <f t="shared" ref="H17" si="3">IFERROR(G17/D17*100-100,0)</f>
        <v>11.96780155171966</v>
      </c>
      <c r="I17" s="120">
        <f>SUM(I9:I16)</f>
        <v>0</v>
      </c>
      <c r="J17" s="120">
        <f t="shared" si="2"/>
        <v>0</v>
      </c>
    </row>
    <row r="18" spans="1:15" x14ac:dyDescent="0.4">
      <c r="A18" s="206"/>
      <c r="B18" s="206"/>
      <c r="C18" s="206"/>
      <c r="D18" s="206"/>
      <c r="E18" s="257"/>
      <c r="F18" s="257"/>
      <c r="G18" s="206"/>
      <c r="H18" s="206"/>
      <c r="I18" s="206"/>
      <c r="J18" s="206"/>
    </row>
    <row r="19" spans="1:15" x14ac:dyDescent="0.4">
      <c r="A19" s="755" t="s">
        <v>259</v>
      </c>
      <c r="B19" s="770"/>
      <c r="C19" s="770"/>
      <c r="D19" s="770"/>
      <c r="E19" s="770"/>
      <c r="F19" s="770"/>
      <c r="G19" s="770"/>
      <c r="H19" s="770"/>
      <c r="I19" s="770"/>
      <c r="J19" s="771"/>
      <c r="L19" s="136"/>
    </row>
    <row r="20" spans="1:15" x14ac:dyDescent="0.4">
      <c r="A20" s="772"/>
      <c r="B20" s="773"/>
      <c r="C20" s="773"/>
      <c r="D20" s="773"/>
      <c r="E20" s="773"/>
      <c r="F20" s="773"/>
      <c r="G20" s="773"/>
      <c r="H20" s="773"/>
      <c r="I20" s="773"/>
      <c r="J20" s="774"/>
    </row>
    <row r="21" spans="1:15" s="222" customFormat="1" x14ac:dyDescent="0.4">
      <c r="A21" s="781"/>
      <c r="B21" s="782"/>
      <c r="C21" s="782"/>
      <c r="D21" s="782"/>
      <c r="E21" s="782"/>
      <c r="F21" s="782"/>
      <c r="G21" s="782"/>
      <c r="H21" s="782"/>
      <c r="I21" s="782"/>
      <c r="J21" s="783"/>
      <c r="K21" s="223"/>
      <c r="L21" s="223"/>
      <c r="M21" s="223"/>
      <c r="N21" s="223"/>
      <c r="O21" s="223"/>
    </row>
    <row r="22" spans="1:15" ht="28.5" x14ac:dyDescent="0.4">
      <c r="A22" s="775" t="s">
        <v>77</v>
      </c>
      <c r="B22" s="776"/>
      <c r="C22" s="777" t="s">
        <v>323</v>
      </c>
      <c r="D22" s="778"/>
      <c r="E22" s="778"/>
      <c r="F22" s="778"/>
      <c r="G22" s="778"/>
      <c r="H22" s="778"/>
      <c r="I22" s="778"/>
      <c r="J22" s="779"/>
      <c r="L22" s="177"/>
      <c r="M22" s="177"/>
      <c r="N22" s="177"/>
      <c r="O22" s="177"/>
    </row>
    <row r="23" spans="1:15" ht="28.5" x14ac:dyDescent="0.4">
      <c r="A23" s="757" t="s">
        <v>41</v>
      </c>
      <c r="B23" s="757"/>
      <c r="C23" s="752" t="s">
        <v>34</v>
      </c>
      <c r="D23" s="753"/>
      <c r="E23" s="753"/>
      <c r="F23" s="753"/>
      <c r="G23" s="753"/>
      <c r="H23" s="753"/>
      <c r="I23" s="753"/>
      <c r="J23" s="754"/>
    </row>
    <row r="24" spans="1:15" x14ac:dyDescent="0.4">
      <c r="A24" s="158"/>
      <c r="B24" s="158"/>
      <c r="C24" s="158"/>
      <c r="D24" s="68"/>
      <c r="E24" s="68"/>
      <c r="F24" s="68"/>
      <c r="G24" s="68"/>
      <c r="H24" s="68"/>
      <c r="I24" s="68" t="s">
        <v>208</v>
      </c>
      <c r="J24" s="68"/>
      <c r="K24" s="69"/>
      <c r="L24" s="69"/>
      <c r="M24" s="69"/>
      <c r="N24" s="128"/>
    </row>
    <row r="25" spans="1:15" x14ac:dyDescent="0.4">
      <c r="A25" s="758" t="s">
        <v>285</v>
      </c>
      <c r="B25" s="759"/>
      <c r="C25" s="759"/>
      <c r="D25" s="758" t="s">
        <v>286</v>
      </c>
      <c r="E25" s="759"/>
      <c r="F25" s="759"/>
      <c r="G25" s="759"/>
      <c r="H25" s="760"/>
      <c r="I25" s="764" t="s">
        <v>209</v>
      </c>
      <c r="J25" s="765"/>
    </row>
    <row r="26" spans="1:15" x14ac:dyDescent="0.4">
      <c r="A26" s="758" t="s">
        <v>83</v>
      </c>
      <c r="B26" s="759"/>
      <c r="C26" s="760"/>
      <c r="D26" s="766" t="s">
        <v>297</v>
      </c>
      <c r="E26" s="758" t="s">
        <v>298</v>
      </c>
      <c r="F26" s="759"/>
      <c r="G26" s="760"/>
      <c r="H26" s="768" t="s">
        <v>299</v>
      </c>
      <c r="I26" s="761" t="s">
        <v>300</v>
      </c>
      <c r="J26" s="761" t="s">
        <v>301</v>
      </c>
    </row>
    <row r="27" spans="1:15" ht="78.75" x14ac:dyDescent="0.4">
      <c r="A27" s="155" t="s">
        <v>183</v>
      </c>
      <c r="B27" s="155" t="s">
        <v>182</v>
      </c>
      <c r="C27" s="130" t="s">
        <v>124</v>
      </c>
      <c r="D27" s="767"/>
      <c r="E27" s="155" t="s">
        <v>692</v>
      </c>
      <c r="F27" s="155" t="s">
        <v>693</v>
      </c>
      <c r="G27" s="155" t="s">
        <v>192</v>
      </c>
      <c r="H27" s="768"/>
      <c r="I27" s="762"/>
      <c r="J27" s="762"/>
    </row>
    <row r="28" spans="1:15" ht="131.25" x14ac:dyDescent="0.4">
      <c r="A28" s="189">
        <v>9</v>
      </c>
      <c r="B28" s="178" t="s">
        <v>324</v>
      </c>
      <c r="C28" s="29" t="s">
        <v>178</v>
      </c>
      <c r="D28" s="175">
        <v>19098.170999999998</v>
      </c>
      <c r="E28" s="168"/>
      <c r="F28" s="249">
        <v>20374.080000000002</v>
      </c>
      <c r="G28" s="147">
        <f>E28+F28</f>
        <v>20374.080000000002</v>
      </c>
      <c r="H28" s="132">
        <f>IFERROR(G28/D28*100-100,0)</f>
        <v>6.6807915794659323</v>
      </c>
      <c r="I28" s="169"/>
      <c r="J28" s="170">
        <f t="shared" ref="J28:J51" si="4">IFERROR(I28/G28*100,)</f>
        <v>0</v>
      </c>
      <c r="K28" s="205"/>
    </row>
    <row r="29" spans="1:15" ht="52.5" x14ac:dyDescent="0.4">
      <c r="A29" s="189">
        <v>4</v>
      </c>
      <c r="B29" s="178" t="s">
        <v>325</v>
      </c>
      <c r="C29" s="29" t="s">
        <v>178</v>
      </c>
      <c r="D29" s="175"/>
      <c r="E29" s="131"/>
      <c r="F29" s="131"/>
      <c r="G29" s="147">
        <f t="shared" ref="G29:G50" si="5">E29+F29</f>
        <v>0</v>
      </c>
      <c r="H29" s="132">
        <f t="shared" ref="H29:H50" si="6">IFERROR(G29/D29*100-100,0)</f>
        <v>0</v>
      </c>
      <c r="I29" s="133"/>
      <c r="J29" s="148">
        <f t="shared" si="4"/>
        <v>0</v>
      </c>
    </row>
    <row r="30" spans="1:15" ht="236.25" x14ac:dyDescent="0.4">
      <c r="A30" s="189">
        <v>1</v>
      </c>
      <c r="B30" s="178" t="s">
        <v>326</v>
      </c>
      <c r="C30" s="29" t="s">
        <v>148</v>
      </c>
      <c r="D30" s="175">
        <v>4275.91</v>
      </c>
      <c r="E30" s="131">
        <v>0</v>
      </c>
      <c r="F30" s="131"/>
      <c r="G30" s="147">
        <f t="shared" si="5"/>
        <v>0</v>
      </c>
      <c r="H30" s="132">
        <f t="shared" si="6"/>
        <v>-100</v>
      </c>
      <c r="I30" s="133"/>
      <c r="J30" s="148">
        <f t="shared" si="4"/>
        <v>0</v>
      </c>
    </row>
    <row r="31" spans="1:15" ht="78.75" x14ac:dyDescent="0.4">
      <c r="A31" s="188">
        <v>1</v>
      </c>
      <c r="B31" s="29" t="s">
        <v>327</v>
      </c>
      <c r="C31" s="29" t="s">
        <v>148</v>
      </c>
      <c r="D31" s="175"/>
      <c r="E31" s="131"/>
      <c r="F31" s="131"/>
      <c r="G31" s="147">
        <f t="shared" si="5"/>
        <v>0</v>
      </c>
      <c r="H31" s="132">
        <f t="shared" si="6"/>
        <v>0</v>
      </c>
      <c r="I31" s="133"/>
      <c r="J31" s="148">
        <f t="shared" si="4"/>
        <v>0</v>
      </c>
    </row>
    <row r="32" spans="1:15" ht="157.5" x14ac:dyDescent="0.4">
      <c r="A32" s="188">
        <v>1</v>
      </c>
      <c r="B32" s="178" t="s">
        <v>328</v>
      </c>
      <c r="C32" s="29" t="s">
        <v>148</v>
      </c>
      <c r="D32" s="175"/>
      <c r="E32" s="131"/>
      <c r="F32" s="131"/>
      <c r="G32" s="147">
        <f t="shared" si="5"/>
        <v>0</v>
      </c>
      <c r="H32" s="132">
        <f t="shared" si="6"/>
        <v>0</v>
      </c>
      <c r="I32" s="133"/>
      <c r="J32" s="148">
        <f t="shared" si="4"/>
        <v>0</v>
      </c>
    </row>
    <row r="33" spans="1:10" ht="52.5" x14ac:dyDescent="0.4">
      <c r="A33" s="188">
        <v>1</v>
      </c>
      <c r="B33" s="178" t="s">
        <v>329</v>
      </c>
      <c r="C33" s="29" t="s">
        <v>178</v>
      </c>
      <c r="D33" s="175"/>
      <c r="E33" s="131"/>
      <c r="F33" s="131"/>
      <c r="G33" s="147">
        <f t="shared" si="5"/>
        <v>0</v>
      </c>
      <c r="H33" s="132">
        <f t="shared" si="6"/>
        <v>0</v>
      </c>
      <c r="I33" s="133"/>
      <c r="J33" s="148">
        <f t="shared" si="4"/>
        <v>0</v>
      </c>
    </row>
    <row r="34" spans="1:10" ht="157.5" x14ac:dyDescent="0.4">
      <c r="A34" s="188">
        <v>1</v>
      </c>
      <c r="B34" s="178" t="s">
        <v>330</v>
      </c>
      <c r="C34" s="29" t="s">
        <v>178</v>
      </c>
      <c r="D34" s="175">
        <v>4625.9189999999999</v>
      </c>
      <c r="E34" s="131"/>
      <c r="F34" s="131">
        <v>4625.9189999999999</v>
      </c>
      <c r="G34" s="147">
        <f t="shared" si="5"/>
        <v>4625.9189999999999</v>
      </c>
      <c r="H34" s="132">
        <f t="shared" si="6"/>
        <v>0</v>
      </c>
      <c r="I34" s="133"/>
      <c r="J34" s="148">
        <f t="shared" si="4"/>
        <v>0</v>
      </c>
    </row>
    <row r="35" spans="1:10" ht="81" customHeight="1" x14ac:dyDescent="0.4">
      <c r="A35" s="188">
        <v>1</v>
      </c>
      <c r="B35" s="174" t="s">
        <v>331</v>
      </c>
      <c r="C35" s="29" t="s">
        <v>178</v>
      </c>
      <c r="D35" s="131"/>
      <c r="E35" s="131"/>
      <c r="F35" s="175"/>
      <c r="G35" s="147">
        <f t="shared" si="5"/>
        <v>0</v>
      </c>
      <c r="H35" s="132">
        <f t="shared" si="6"/>
        <v>0</v>
      </c>
      <c r="I35" s="133"/>
      <c r="J35" s="148">
        <f t="shared" si="4"/>
        <v>0</v>
      </c>
    </row>
    <row r="36" spans="1:10" ht="78.75" x14ac:dyDescent="0.4">
      <c r="A36" s="188">
        <v>1</v>
      </c>
      <c r="B36" s="326" t="s">
        <v>332</v>
      </c>
      <c r="C36" s="29" t="s">
        <v>145</v>
      </c>
      <c r="D36" s="131"/>
      <c r="E36" s="131"/>
      <c r="F36" s="175"/>
      <c r="G36" s="147">
        <f t="shared" si="5"/>
        <v>0</v>
      </c>
      <c r="H36" s="132">
        <f t="shared" si="6"/>
        <v>0</v>
      </c>
      <c r="I36" s="133"/>
      <c r="J36" s="148">
        <f t="shared" si="4"/>
        <v>0</v>
      </c>
    </row>
    <row r="37" spans="1:10" ht="78.75" x14ac:dyDescent="0.4">
      <c r="A37" s="188">
        <v>1</v>
      </c>
      <c r="B37" s="174" t="s">
        <v>333</v>
      </c>
      <c r="C37" s="29" t="s">
        <v>178</v>
      </c>
      <c r="D37" s="131"/>
      <c r="E37" s="131"/>
      <c r="F37" s="175"/>
      <c r="G37" s="147">
        <f t="shared" si="5"/>
        <v>0</v>
      </c>
      <c r="H37" s="132">
        <f t="shared" si="6"/>
        <v>0</v>
      </c>
      <c r="I37" s="133"/>
      <c r="J37" s="148">
        <f t="shared" si="4"/>
        <v>0</v>
      </c>
    </row>
    <row r="38" spans="1:10" ht="52.5" x14ac:dyDescent="0.4">
      <c r="A38" s="188">
        <v>1</v>
      </c>
      <c r="B38" s="174" t="s">
        <v>334</v>
      </c>
      <c r="C38" s="29" t="s">
        <v>178</v>
      </c>
      <c r="D38" s="131"/>
      <c r="E38" s="131"/>
      <c r="F38" s="175"/>
      <c r="G38" s="147">
        <f t="shared" si="5"/>
        <v>0</v>
      </c>
      <c r="H38" s="132">
        <f t="shared" si="6"/>
        <v>0</v>
      </c>
      <c r="I38" s="133"/>
      <c r="J38" s="148">
        <f t="shared" si="4"/>
        <v>0</v>
      </c>
    </row>
    <row r="39" spans="1:10" ht="52.5" x14ac:dyDescent="0.4">
      <c r="A39" s="188">
        <v>1</v>
      </c>
      <c r="B39" s="174" t="s">
        <v>335</v>
      </c>
      <c r="C39" s="29" t="s">
        <v>135</v>
      </c>
      <c r="D39" s="131"/>
      <c r="E39" s="131"/>
      <c r="F39" s="131"/>
      <c r="G39" s="147">
        <f t="shared" si="5"/>
        <v>0</v>
      </c>
      <c r="H39" s="132">
        <f t="shared" si="6"/>
        <v>0</v>
      </c>
      <c r="I39" s="133"/>
      <c r="J39" s="148">
        <f t="shared" si="4"/>
        <v>0</v>
      </c>
    </row>
    <row r="40" spans="1:10" ht="105" x14ac:dyDescent="0.4">
      <c r="A40" s="188">
        <v>1</v>
      </c>
      <c r="B40" s="174" t="s">
        <v>336</v>
      </c>
      <c r="C40" s="29" t="s">
        <v>148</v>
      </c>
      <c r="D40" s="131"/>
      <c r="E40" s="131"/>
      <c r="F40" s="131"/>
      <c r="G40" s="147">
        <f t="shared" si="5"/>
        <v>0</v>
      </c>
      <c r="H40" s="132">
        <f t="shared" si="6"/>
        <v>0</v>
      </c>
      <c r="I40" s="133"/>
      <c r="J40" s="148">
        <f t="shared" si="4"/>
        <v>0</v>
      </c>
    </row>
    <row r="41" spans="1:10" ht="78.75" x14ac:dyDescent="0.4">
      <c r="A41" s="188">
        <v>1</v>
      </c>
      <c r="B41" s="174" t="s">
        <v>337</v>
      </c>
      <c r="C41" s="29" t="s">
        <v>148</v>
      </c>
      <c r="D41" s="131"/>
      <c r="E41" s="131"/>
      <c r="F41" s="131">
        <v>1500</v>
      </c>
      <c r="G41" s="147">
        <f t="shared" si="5"/>
        <v>1500</v>
      </c>
      <c r="H41" s="132">
        <f t="shared" si="6"/>
        <v>0</v>
      </c>
      <c r="I41" s="133"/>
      <c r="J41" s="148">
        <f t="shared" si="4"/>
        <v>0</v>
      </c>
    </row>
    <row r="42" spans="1:10" ht="52.5" x14ac:dyDescent="0.4">
      <c r="A42" s="188">
        <v>1</v>
      </c>
      <c r="B42" s="174" t="s">
        <v>338</v>
      </c>
      <c r="C42" s="29" t="s">
        <v>135</v>
      </c>
      <c r="D42" s="131"/>
      <c r="E42" s="131"/>
      <c r="F42" s="131"/>
      <c r="G42" s="147">
        <f t="shared" si="5"/>
        <v>0</v>
      </c>
      <c r="H42" s="132">
        <f t="shared" si="6"/>
        <v>0</v>
      </c>
      <c r="I42" s="133"/>
      <c r="J42" s="148">
        <f t="shared" si="4"/>
        <v>0</v>
      </c>
    </row>
    <row r="43" spans="1:10" ht="78.75" x14ac:dyDescent="0.4">
      <c r="A43" s="188">
        <v>1</v>
      </c>
      <c r="B43" s="174" t="s">
        <v>339</v>
      </c>
      <c r="C43" s="29" t="s">
        <v>148</v>
      </c>
      <c r="D43" s="131"/>
      <c r="E43" s="131"/>
      <c r="F43" s="131"/>
      <c r="G43" s="147">
        <f t="shared" si="5"/>
        <v>0</v>
      </c>
      <c r="H43" s="132">
        <f t="shared" si="6"/>
        <v>0</v>
      </c>
      <c r="I43" s="133"/>
      <c r="J43" s="148">
        <f t="shared" si="4"/>
        <v>0</v>
      </c>
    </row>
    <row r="44" spans="1:10" ht="78.75" x14ac:dyDescent="0.4">
      <c r="A44" s="188">
        <v>1</v>
      </c>
      <c r="B44" s="174" t="s">
        <v>340</v>
      </c>
      <c r="C44" s="29" t="s">
        <v>148</v>
      </c>
      <c r="D44" s="131"/>
      <c r="E44" s="131"/>
      <c r="F44" s="131"/>
      <c r="G44" s="147">
        <f t="shared" si="5"/>
        <v>0</v>
      </c>
      <c r="H44" s="132">
        <f t="shared" si="6"/>
        <v>0</v>
      </c>
      <c r="I44" s="133"/>
      <c r="J44" s="148">
        <f t="shared" si="4"/>
        <v>0</v>
      </c>
    </row>
    <row r="45" spans="1:10" ht="105" x14ac:dyDescent="0.4">
      <c r="A45" s="188">
        <v>1</v>
      </c>
      <c r="B45" s="174" t="s">
        <v>341</v>
      </c>
      <c r="C45" s="29" t="s">
        <v>146</v>
      </c>
      <c r="D45" s="131"/>
      <c r="E45" s="131"/>
      <c r="F45" s="131"/>
      <c r="G45" s="147">
        <f t="shared" si="5"/>
        <v>0</v>
      </c>
      <c r="H45" s="132">
        <f t="shared" si="6"/>
        <v>0</v>
      </c>
      <c r="I45" s="133"/>
      <c r="J45" s="148">
        <f t="shared" si="4"/>
        <v>0</v>
      </c>
    </row>
    <row r="46" spans="1:10" ht="78.75" x14ac:dyDescent="0.4">
      <c r="A46" s="188">
        <v>1</v>
      </c>
      <c r="B46" s="174" t="s">
        <v>342</v>
      </c>
      <c r="C46" s="29" t="s">
        <v>146</v>
      </c>
      <c r="D46" s="131"/>
      <c r="E46" s="131"/>
      <c r="F46" s="131"/>
      <c r="G46" s="147">
        <f t="shared" si="5"/>
        <v>0</v>
      </c>
      <c r="H46" s="132">
        <f t="shared" si="6"/>
        <v>0</v>
      </c>
      <c r="I46" s="133"/>
      <c r="J46" s="148">
        <f t="shared" si="4"/>
        <v>0</v>
      </c>
    </row>
    <row r="47" spans="1:10" ht="52.5" x14ac:dyDescent="0.4">
      <c r="A47" s="188">
        <v>1</v>
      </c>
      <c r="B47" s="174" t="s">
        <v>343</v>
      </c>
      <c r="C47" s="29" t="s">
        <v>178</v>
      </c>
      <c r="D47" s="131"/>
      <c r="E47" s="131"/>
      <c r="F47" s="131">
        <v>1500</v>
      </c>
      <c r="G47" s="147">
        <f t="shared" si="5"/>
        <v>1500</v>
      </c>
      <c r="H47" s="132">
        <f t="shared" si="6"/>
        <v>0</v>
      </c>
      <c r="I47" s="133"/>
      <c r="J47" s="148">
        <f t="shared" si="4"/>
        <v>0</v>
      </c>
    </row>
    <row r="48" spans="1:10" ht="105" x14ac:dyDescent="0.4">
      <c r="A48" s="188">
        <v>1</v>
      </c>
      <c r="B48" s="174" t="s">
        <v>344</v>
      </c>
      <c r="C48" s="29" t="s">
        <v>148</v>
      </c>
      <c r="D48" s="131"/>
      <c r="E48" s="131"/>
      <c r="F48" s="131"/>
      <c r="G48" s="147">
        <f t="shared" si="5"/>
        <v>0</v>
      </c>
      <c r="H48" s="132">
        <f t="shared" si="6"/>
        <v>0</v>
      </c>
      <c r="I48" s="133"/>
      <c r="J48" s="148">
        <f t="shared" si="4"/>
        <v>0</v>
      </c>
    </row>
    <row r="49" spans="1:11" x14ac:dyDescent="0.4">
      <c r="A49" s="188">
        <v>1</v>
      </c>
      <c r="B49" s="174" t="s">
        <v>345</v>
      </c>
      <c r="C49" s="29" t="s">
        <v>178</v>
      </c>
      <c r="D49" s="131"/>
      <c r="E49" s="131"/>
      <c r="F49" s="131"/>
      <c r="G49" s="147">
        <f t="shared" si="5"/>
        <v>0</v>
      </c>
      <c r="H49" s="132">
        <f t="shared" si="6"/>
        <v>0</v>
      </c>
      <c r="I49" s="133"/>
      <c r="J49" s="148">
        <f t="shared" si="4"/>
        <v>0</v>
      </c>
    </row>
    <row r="50" spans="1:11" ht="52.5" x14ac:dyDescent="0.4">
      <c r="A50" s="188">
        <v>1</v>
      </c>
      <c r="B50" s="174" t="s">
        <v>346</v>
      </c>
      <c r="C50" s="29" t="s">
        <v>178</v>
      </c>
      <c r="D50" s="131"/>
      <c r="E50" s="131"/>
      <c r="F50" s="131"/>
      <c r="G50" s="147">
        <f t="shared" si="5"/>
        <v>0</v>
      </c>
      <c r="H50" s="132">
        <f t="shared" si="6"/>
        <v>0</v>
      </c>
      <c r="I50" s="133"/>
      <c r="J50" s="148">
        <f t="shared" si="4"/>
        <v>0</v>
      </c>
    </row>
    <row r="51" spans="1:11" x14ac:dyDescent="0.4">
      <c r="A51" s="156" t="s">
        <v>0</v>
      </c>
      <c r="B51" s="156"/>
      <c r="C51" s="156"/>
      <c r="D51" s="120">
        <f>SUM(D28:D50)</f>
        <v>28000</v>
      </c>
      <c r="E51" s="120">
        <f>SUM(E28:E50)</f>
        <v>0</v>
      </c>
      <c r="F51" s="120">
        <f>SUM(F28:F50)</f>
        <v>27999.999000000003</v>
      </c>
      <c r="G51" s="120">
        <f>SUM(G28:G50)</f>
        <v>27999.999000000003</v>
      </c>
      <c r="H51" s="120">
        <f t="shared" ref="H51" si="7">IFERROR(G51/D51*100-100,0)</f>
        <v>-3.5714285644417032E-6</v>
      </c>
      <c r="I51" s="120">
        <f>SUM(I28:I50)</f>
        <v>0</v>
      </c>
      <c r="J51" s="120">
        <f t="shared" si="4"/>
        <v>0</v>
      </c>
      <c r="K51" s="205"/>
    </row>
    <row r="52" spans="1:11" x14ac:dyDescent="0.4">
      <c r="A52" s="149"/>
      <c r="B52" s="149"/>
      <c r="C52" s="149"/>
      <c r="D52" s="224"/>
      <c r="E52" s="224"/>
      <c r="F52" s="224"/>
      <c r="G52" s="149"/>
      <c r="H52" s="149"/>
      <c r="I52" s="149"/>
      <c r="J52" s="149"/>
    </row>
    <row r="53" spans="1:11" x14ac:dyDescent="0.4">
      <c r="A53" s="755" t="s">
        <v>259</v>
      </c>
      <c r="B53" s="756"/>
      <c r="C53" s="150"/>
      <c r="D53" s="150"/>
      <c r="E53" s="150"/>
      <c r="F53" s="150"/>
      <c r="G53" s="150"/>
      <c r="H53" s="150"/>
      <c r="I53" s="150"/>
      <c r="J53" s="151"/>
    </row>
    <row r="54" spans="1:11" x14ac:dyDescent="0.4">
      <c r="A54" s="152"/>
      <c r="B54" s="153"/>
      <c r="C54" s="153"/>
      <c r="D54" s="153"/>
      <c r="E54" s="153"/>
      <c r="F54" s="153"/>
      <c r="G54" s="153"/>
      <c r="H54" s="153"/>
      <c r="I54" s="153"/>
      <c r="J54" s="154"/>
    </row>
    <row r="56" spans="1:11" ht="28.5" x14ac:dyDescent="0.4">
      <c r="A56" s="763" t="s">
        <v>77</v>
      </c>
      <c r="B56" s="757"/>
      <c r="C56" s="752" t="s">
        <v>347</v>
      </c>
      <c r="D56" s="753"/>
      <c r="E56" s="753"/>
      <c r="F56" s="753"/>
      <c r="G56" s="753"/>
      <c r="H56" s="753"/>
      <c r="I56" s="753"/>
      <c r="J56" s="754"/>
    </row>
    <row r="57" spans="1:11" ht="28.5" x14ac:dyDescent="0.4">
      <c r="A57" s="757" t="s">
        <v>41</v>
      </c>
      <c r="B57" s="757"/>
      <c r="C57" s="752" t="s">
        <v>180</v>
      </c>
      <c r="D57" s="753"/>
      <c r="E57" s="753"/>
      <c r="F57" s="753"/>
      <c r="G57" s="753"/>
      <c r="H57" s="753"/>
      <c r="I57" s="753"/>
      <c r="J57" s="754"/>
    </row>
    <row r="58" spans="1:11" x14ac:dyDescent="0.4">
      <c r="A58" s="159"/>
      <c r="B58" s="159"/>
      <c r="C58" s="159"/>
      <c r="D58" s="68"/>
      <c r="E58" s="68"/>
      <c r="F58" s="68"/>
      <c r="G58" s="68"/>
      <c r="H58" s="68"/>
      <c r="I58" s="68" t="s">
        <v>208</v>
      </c>
      <c r="J58" s="68"/>
    </row>
    <row r="59" spans="1:11" x14ac:dyDescent="0.4">
      <c r="A59" s="758" t="s">
        <v>285</v>
      </c>
      <c r="B59" s="759"/>
      <c r="C59" s="759"/>
      <c r="D59" s="758" t="s">
        <v>286</v>
      </c>
      <c r="E59" s="759"/>
      <c r="F59" s="759"/>
      <c r="G59" s="759"/>
      <c r="H59" s="760"/>
      <c r="I59" s="764" t="s">
        <v>209</v>
      </c>
      <c r="J59" s="765"/>
    </row>
    <row r="60" spans="1:11" x14ac:dyDescent="0.4">
      <c r="A60" s="758" t="s">
        <v>83</v>
      </c>
      <c r="B60" s="759"/>
      <c r="C60" s="760"/>
      <c r="D60" s="766" t="s">
        <v>297</v>
      </c>
      <c r="E60" s="758" t="s">
        <v>298</v>
      </c>
      <c r="F60" s="759"/>
      <c r="G60" s="760"/>
      <c r="H60" s="768" t="s">
        <v>299</v>
      </c>
      <c r="I60" s="761" t="s">
        <v>300</v>
      </c>
      <c r="J60" s="761" t="s">
        <v>301</v>
      </c>
    </row>
    <row r="61" spans="1:11" ht="78.75" x14ac:dyDescent="0.4">
      <c r="A61" s="160" t="s">
        <v>183</v>
      </c>
      <c r="B61" s="160" t="s">
        <v>182</v>
      </c>
      <c r="C61" s="130" t="s">
        <v>124</v>
      </c>
      <c r="D61" s="767"/>
      <c r="E61" s="160" t="s">
        <v>692</v>
      </c>
      <c r="F61" s="160" t="s">
        <v>693</v>
      </c>
      <c r="G61" s="160" t="s">
        <v>192</v>
      </c>
      <c r="H61" s="768"/>
      <c r="I61" s="762"/>
      <c r="J61" s="762"/>
    </row>
    <row r="62" spans="1:11" ht="131.25" x14ac:dyDescent="0.4">
      <c r="A62" s="189">
        <v>6</v>
      </c>
      <c r="B62" s="187" t="s">
        <v>349</v>
      </c>
      <c r="C62" s="29" t="s">
        <v>178</v>
      </c>
      <c r="D62" s="175">
        <v>12760</v>
      </c>
      <c r="E62" s="168"/>
      <c r="F62" s="249">
        <v>13000</v>
      </c>
      <c r="G62" s="147">
        <f>E62+F62</f>
        <v>13000</v>
      </c>
      <c r="H62" s="132">
        <f>IFERROR(G62/D62*100-100,0)</f>
        <v>1.8808777429467227</v>
      </c>
      <c r="I62" s="169"/>
      <c r="J62" s="170">
        <f t="shared" ref="J62:J77" si="8">IFERROR(I62/G62*100,)</f>
        <v>0</v>
      </c>
    </row>
    <row r="63" spans="1:11" ht="52.5" x14ac:dyDescent="0.4">
      <c r="A63" s="189">
        <v>3</v>
      </c>
      <c r="B63" s="178" t="s">
        <v>350</v>
      </c>
      <c r="C63" s="29" t="s">
        <v>178</v>
      </c>
      <c r="D63" s="175"/>
      <c r="E63" s="131"/>
      <c r="F63" s="131"/>
      <c r="G63" s="147">
        <f t="shared" ref="G63:G77" si="9">E63+F63</f>
        <v>0</v>
      </c>
      <c r="H63" s="132">
        <f t="shared" ref="H63:H77" si="10">IFERROR(G63/D63*100-100,0)</f>
        <v>0</v>
      </c>
      <c r="I63" s="133"/>
      <c r="J63" s="148">
        <f t="shared" si="8"/>
        <v>0</v>
      </c>
    </row>
    <row r="64" spans="1:11" ht="78.75" x14ac:dyDescent="0.4">
      <c r="A64" s="189">
        <v>1</v>
      </c>
      <c r="B64" s="178" t="s">
        <v>351</v>
      </c>
      <c r="C64" s="29" t="s">
        <v>178</v>
      </c>
      <c r="D64" s="175"/>
      <c r="E64" s="131"/>
      <c r="F64" s="131"/>
      <c r="G64" s="147">
        <f t="shared" si="9"/>
        <v>0</v>
      </c>
      <c r="H64" s="132">
        <f t="shared" si="10"/>
        <v>0</v>
      </c>
      <c r="I64" s="133"/>
      <c r="J64" s="148">
        <f t="shared" si="8"/>
        <v>0</v>
      </c>
    </row>
    <row r="65" spans="1:10" ht="78.75" x14ac:dyDescent="0.4">
      <c r="A65" s="189">
        <v>1</v>
      </c>
      <c r="B65" s="178" t="s">
        <v>352</v>
      </c>
      <c r="C65" s="29" t="s">
        <v>178</v>
      </c>
      <c r="D65" s="175">
        <v>2430</v>
      </c>
      <c r="E65" s="131">
        <v>0</v>
      </c>
      <c r="F65" s="131">
        <v>0</v>
      </c>
      <c r="G65" s="147">
        <f t="shared" si="9"/>
        <v>0</v>
      </c>
      <c r="H65" s="132">
        <f t="shared" si="10"/>
        <v>-100</v>
      </c>
      <c r="I65" s="133"/>
      <c r="J65" s="148">
        <f t="shared" si="8"/>
        <v>0</v>
      </c>
    </row>
    <row r="66" spans="1:10" ht="52.5" x14ac:dyDescent="0.4">
      <c r="A66" s="189">
        <v>1</v>
      </c>
      <c r="B66" s="29" t="s">
        <v>353</v>
      </c>
      <c r="C66" s="29" t="s">
        <v>178</v>
      </c>
      <c r="D66" s="175">
        <v>810</v>
      </c>
      <c r="E66" s="131"/>
      <c r="F66" s="131"/>
      <c r="G66" s="147">
        <f t="shared" si="9"/>
        <v>0</v>
      </c>
      <c r="H66" s="132">
        <f t="shared" si="10"/>
        <v>-100</v>
      </c>
      <c r="I66" s="133"/>
      <c r="J66" s="148">
        <f t="shared" si="8"/>
        <v>0</v>
      </c>
    </row>
    <row r="67" spans="1:10" x14ac:dyDescent="0.4">
      <c r="A67" s="190">
        <v>1</v>
      </c>
      <c r="B67" s="209" t="s">
        <v>684</v>
      </c>
      <c r="C67" s="29" t="s">
        <v>178</v>
      </c>
      <c r="D67" s="175"/>
      <c r="E67" s="131"/>
      <c r="F67" s="247">
        <v>3000</v>
      </c>
      <c r="G67" s="147">
        <f t="shared" si="9"/>
        <v>3000</v>
      </c>
      <c r="H67" s="132">
        <f t="shared" si="10"/>
        <v>0</v>
      </c>
      <c r="I67" s="133"/>
      <c r="J67" s="148"/>
    </row>
    <row r="68" spans="1:10" ht="52.5" x14ac:dyDescent="0.4">
      <c r="A68" s="190">
        <v>1</v>
      </c>
      <c r="B68" s="187" t="s">
        <v>348</v>
      </c>
      <c r="C68" s="29" t="s">
        <v>135</v>
      </c>
      <c r="D68" s="175"/>
      <c r="E68" s="131"/>
      <c r="F68" s="131"/>
      <c r="G68" s="147">
        <f t="shared" si="9"/>
        <v>0</v>
      </c>
      <c r="H68" s="132">
        <f t="shared" si="10"/>
        <v>0</v>
      </c>
      <c r="I68" s="133"/>
      <c r="J68" s="148">
        <f t="shared" si="8"/>
        <v>0</v>
      </c>
    </row>
    <row r="69" spans="1:10" ht="52.5" x14ac:dyDescent="0.4">
      <c r="A69" s="188">
        <v>1</v>
      </c>
      <c r="B69" s="178" t="s">
        <v>354</v>
      </c>
      <c r="C69" s="29" t="s">
        <v>178</v>
      </c>
      <c r="D69" s="131"/>
      <c r="E69" s="131"/>
      <c r="F69" s="175"/>
      <c r="G69" s="147">
        <f t="shared" si="9"/>
        <v>0</v>
      </c>
      <c r="H69" s="132">
        <f t="shared" si="10"/>
        <v>0</v>
      </c>
      <c r="I69" s="133"/>
      <c r="J69" s="148">
        <f t="shared" si="8"/>
        <v>0</v>
      </c>
    </row>
    <row r="70" spans="1:10" ht="52.5" x14ac:dyDescent="0.4">
      <c r="A70" s="188">
        <v>1</v>
      </c>
      <c r="B70" s="178" t="s">
        <v>355</v>
      </c>
      <c r="C70" s="29" t="s">
        <v>135</v>
      </c>
      <c r="D70" s="131"/>
      <c r="E70" s="131"/>
      <c r="F70" s="175"/>
      <c r="G70" s="147">
        <f t="shared" si="9"/>
        <v>0</v>
      </c>
      <c r="H70" s="132">
        <f t="shared" si="10"/>
        <v>0</v>
      </c>
      <c r="I70" s="133"/>
      <c r="J70" s="148">
        <f t="shared" si="8"/>
        <v>0</v>
      </c>
    </row>
    <row r="71" spans="1:10" ht="52.5" x14ac:dyDescent="0.4">
      <c r="A71" s="188">
        <v>1</v>
      </c>
      <c r="B71" s="29" t="s">
        <v>356</v>
      </c>
      <c r="C71" s="29" t="s">
        <v>135</v>
      </c>
      <c r="D71" s="131"/>
      <c r="E71" s="131"/>
      <c r="F71" s="175"/>
      <c r="G71" s="147">
        <f t="shared" si="9"/>
        <v>0</v>
      </c>
      <c r="H71" s="132">
        <f t="shared" si="10"/>
        <v>0</v>
      </c>
      <c r="I71" s="133"/>
      <c r="J71" s="148">
        <f t="shared" si="8"/>
        <v>0</v>
      </c>
    </row>
    <row r="72" spans="1:10" x14ac:dyDescent="0.4">
      <c r="A72" s="188">
        <v>1</v>
      </c>
      <c r="B72" s="174" t="s">
        <v>357</v>
      </c>
      <c r="C72" s="29" t="s">
        <v>178</v>
      </c>
      <c r="D72" s="131"/>
      <c r="E72" s="131"/>
      <c r="F72" s="175"/>
      <c r="G72" s="147">
        <f t="shared" si="9"/>
        <v>0</v>
      </c>
      <c r="H72" s="132">
        <f t="shared" si="10"/>
        <v>0</v>
      </c>
      <c r="I72" s="133"/>
      <c r="J72" s="148">
        <f t="shared" si="8"/>
        <v>0</v>
      </c>
    </row>
    <row r="73" spans="1:10" x14ac:dyDescent="0.4">
      <c r="A73" s="188">
        <v>1</v>
      </c>
      <c r="B73" s="174" t="s">
        <v>358</v>
      </c>
      <c r="C73" s="29" t="s">
        <v>153</v>
      </c>
      <c r="D73" s="131"/>
      <c r="E73" s="131"/>
      <c r="F73" s="131"/>
      <c r="G73" s="147">
        <f t="shared" si="9"/>
        <v>0</v>
      </c>
      <c r="H73" s="132">
        <f t="shared" si="10"/>
        <v>0</v>
      </c>
      <c r="I73" s="133"/>
      <c r="J73" s="148">
        <f t="shared" si="8"/>
        <v>0</v>
      </c>
    </row>
    <row r="74" spans="1:10" ht="52.5" x14ac:dyDescent="0.4">
      <c r="A74" s="188">
        <v>1</v>
      </c>
      <c r="B74" s="174" t="s">
        <v>359</v>
      </c>
      <c r="C74" s="29" t="s">
        <v>178</v>
      </c>
      <c r="D74" s="131"/>
      <c r="E74" s="131"/>
      <c r="F74" s="131"/>
      <c r="G74" s="147">
        <f t="shared" si="9"/>
        <v>0</v>
      </c>
      <c r="H74" s="132">
        <f t="shared" si="10"/>
        <v>0</v>
      </c>
      <c r="I74" s="133"/>
      <c r="J74" s="148">
        <f t="shared" si="8"/>
        <v>0</v>
      </c>
    </row>
    <row r="75" spans="1:10" ht="52.5" x14ac:dyDescent="0.4">
      <c r="A75" s="188">
        <v>1</v>
      </c>
      <c r="B75" s="174" t="s">
        <v>360</v>
      </c>
      <c r="C75" s="29" t="s">
        <v>178</v>
      </c>
      <c r="D75" s="131"/>
      <c r="E75" s="131"/>
      <c r="F75" s="131"/>
      <c r="G75" s="147">
        <f t="shared" si="9"/>
        <v>0</v>
      </c>
      <c r="H75" s="132">
        <f t="shared" si="10"/>
        <v>0</v>
      </c>
      <c r="I75" s="133"/>
      <c r="J75" s="148">
        <f t="shared" si="8"/>
        <v>0</v>
      </c>
    </row>
    <row r="76" spans="1:10" ht="52.5" x14ac:dyDescent="0.4">
      <c r="A76" s="188">
        <v>1</v>
      </c>
      <c r="B76" s="174" t="s">
        <v>361</v>
      </c>
      <c r="C76" s="29" t="s">
        <v>178</v>
      </c>
      <c r="D76" s="131"/>
      <c r="E76" s="131"/>
      <c r="F76" s="131"/>
      <c r="G76" s="147">
        <f t="shared" si="9"/>
        <v>0</v>
      </c>
      <c r="H76" s="132">
        <f t="shared" si="10"/>
        <v>0</v>
      </c>
      <c r="I76" s="133"/>
      <c r="J76" s="148">
        <f t="shared" si="8"/>
        <v>0</v>
      </c>
    </row>
    <row r="77" spans="1:10" ht="52.5" x14ac:dyDescent="0.4">
      <c r="A77" s="188">
        <v>1</v>
      </c>
      <c r="B77" s="174" t="s">
        <v>362</v>
      </c>
      <c r="C77" s="29" t="s">
        <v>178</v>
      </c>
      <c r="D77" s="131"/>
      <c r="E77" s="131"/>
      <c r="F77" s="131"/>
      <c r="G77" s="147">
        <f t="shared" si="9"/>
        <v>0</v>
      </c>
      <c r="H77" s="132">
        <f t="shared" si="10"/>
        <v>0</v>
      </c>
      <c r="I77" s="133"/>
      <c r="J77" s="148">
        <f t="shared" si="8"/>
        <v>0</v>
      </c>
    </row>
    <row r="78" spans="1:10" x14ac:dyDescent="0.4">
      <c r="A78" s="161" t="s">
        <v>0</v>
      </c>
      <c r="B78" s="161"/>
      <c r="C78" s="161"/>
      <c r="D78" s="120">
        <f>SUM(D62:D77)</f>
        <v>16000</v>
      </c>
      <c r="E78" s="120">
        <f>SUM(E62:E77)</f>
        <v>0</v>
      </c>
      <c r="F78" s="120">
        <f>SUM(F62:F77)</f>
        <v>16000</v>
      </c>
      <c r="G78" s="120">
        <f>SUM(G62:G77)</f>
        <v>16000</v>
      </c>
      <c r="H78" s="120">
        <f t="shared" ref="H78" si="11">IFERROR(G78/D78*100-100,0)</f>
        <v>0</v>
      </c>
      <c r="I78" s="120">
        <f>SUM(I62:I77)</f>
        <v>0</v>
      </c>
      <c r="J78" s="120">
        <f t="shared" ref="J78" si="12">IFERROR(I78/G78*100,)</f>
        <v>0</v>
      </c>
    </row>
    <row r="79" spans="1:10" x14ac:dyDescent="0.4">
      <c r="A79" s="162"/>
      <c r="B79" s="162"/>
      <c r="C79" s="162"/>
      <c r="D79" s="224"/>
      <c r="E79" s="251"/>
      <c r="F79" s="251"/>
      <c r="G79" s="162"/>
      <c r="H79" s="162"/>
      <c r="I79" s="162"/>
      <c r="J79" s="162"/>
    </row>
    <row r="80" spans="1:10" x14ac:dyDescent="0.4">
      <c r="A80" s="755" t="s">
        <v>259</v>
      </c>
      <c r="B80" s="756"/>
      <c r="C80" s="163"/>
      <c r="D80" s="163"/>
      <c r="E80" s="163"/>
      <c r="F80" s="163"/>
      <c r="G80" s="163"/>
      <c r="H80" s="163"/>
      <c r="I80" s="163"/>
      <c r="J80" s="164"/>
    </row>
    <row r="81" spans="1:10" x14ac:dyDescent="0.4">
      <c r="A81" s="165"/>
      <c r="B81" s="166"/>
      <c r="C81" s="166"/>
      <c r="D81" s="166"/>
      <c r="E81" s="166"/>
      <c r="F81" s="166"/>
      <c r="G81" s="166"/>
      <c r="H81" s="166"/>
      <c r="I81" s="166"/>
      <c r="J81" s="167"/>
    </row>
    <row r="83" spans="1:10" ht="28.5" x14ac:dyDescent="0.4">
      <c r="A83" s="763" t="s">
        <v>77</v>
      </c>
      <c r="B83" s="757"/>
      <c r="C83" s="752" t="s">
        <v>363</v>
      </c>
      <c r="D83" s="753"/>
      <c r="E83" s="753"/>
      <c r="F83" s="753"/>
      <c r="G83" s="753"/>
      <c r="H83" s="753"/>
      <c r="I83" s="753"/>
      <c r="J83" s="754"/>
    </row>
    <row r="84" spans="1:10" ht="28.5" x14ac:dyDescent="0.4">
      <c r="A84" s="757" t="s">
        <v>41</v>
      </c>
      <c r="B84" s="757"/>
      <c r="C84" s="752" t="s">
        <v>29</v>
      </c>
      <c r="D84" s="753"/>
      <c r="E84" s="753"/>
      <c r="F84" s="753"/>
      <c r="G84" s="753"/>
      <c r="H84" s="753"/>
      <c r="I84" s="753"/>
      <c r="J84" s="754"/>
    </row>
    <row r="85" spans="1:10" x14ac:dyDescent="0.4">
      <c r="A85" s="159"/>
      <c r="B85" s="159"/>
      <c r="C85" s="159"/>
      <c r="D85" s="68"/>
      <c r="E85" s="68"/>
      <c r="F85" s="68"/>
      <c r="G85" s="68"/>
      <c r="H85" s="68"/>
      <c r="I85" s="68" t="s">
        <v>208</v>
      </c>
      <c r="J85" s="68"/>
    </row>
    <row r="86" spans="1:10" x14ac:dyDescent="0.4">
      <c r="A86" s="758" t="s">
        <v>285</v>
      </c>
      <c r="B86" s="759"/>
      <c r="C86" s="759"/>
      <c r="D86" s="758" t="s">
        <v>286</v>
      </c>
      <c r="E86" s="759"/>
      <c r="F86" s="759"/>
      <c r="G86" s="759"/>
      <c r="H86" s="760"/>
      <c r="I86" s="764" t="s">
        <v>209</v>
      </c>
      <c r="J86" s="765"/>
    </row>
    <row r="87" spans="1:10" x14ac:dyDescent="0.4">
      <c r="A87" s="758" t="s">
        <v>83</v>
      </c>
      <c r="B87" s="759"/>
      <c r="C87" s="760"/>
      <c r="D87" s="766" t="s">
        <v>297</v>
      </c>
      <c r="E87" s="758" t="s">
        <v>298</v>
      </c>
      <c r="F87" s="759"/>
      <c r="G87" s="760"/>
      <c r="H87" s="768" t="s">
        <v>299</v>
      </c>
      <c r="I87" s="761" t="s">
        <v>300</v>
      </c>
      <c r="J87" s="761" t="s">
        <v>301</v>
      </c>
    </row>
    <row r="88" spans="1:10" ht="78.75" x14ac:dyDescent="0.4">
      <c r="A88" s="160" t="s">
        <v>183</v>
      </c>
      <c r="B88" s="160" t="s">
        <v>182</v>
      </c>
      <c r="C88" s="130" t="s">
        <v>124</v>
      </c>
      <c r="D88" s="767"/>
      <c r="E88" s="160" t="s">
        <v>692</v>
      </c>
      <c r="F88" s="160" t="s">
        <v>693</v>
      </c>
      <c r="G88" s="160" t="s">
        <v>192</v>
      </c>
      <c r="H88" s="768"/>
      <c r="I88" s="762"/>
      <c r="J88" s="762"/>
    </row>
    <row r="89" spans="1:10" ht="78.75" x14ac:dyDescent="0.4">
      <c r="A89" s="188">
        <v>1</v>
      </c>
      <c r="B89" s="178" t="s">
        <v>364</v>
      </c>
      <c r="C89" s="29" t="s">
        <v>145</v>
      </c>
      <c r="D89" s="175">
        <v>100000</v>
      </c>
      <c r="E89" s="131">
        <v>0</v>
      </c>
      <c r="F89" s="131">
        <v>100000</v>
      </c>
      <c r="G89" s="147">
        <f t="shared" ref="G89" si="13">E89+F89</f>
        <v>100000</v>
      </c>
      <c r="H89" s="132">
        <f t="shared" ref="H89:H90" si="14">IFERROR(G89/D89*100-100,0)</f>
        <v>0</v>
      </c>
      <c r="I89" s="133"/>
      <c r="J89" s="148">
        <f t="shared" ref="J89" si="15">IFERROR(I89/G89*100,)</f>
        <v>0</v>
      </c>
    </row>
    <row r="90" spans="1:10" x14ac:dyDescent="0.4">
      <c r="A90" s="161" t="s">
        <v>0</v>
      </c>
      <c r="B90" s="161"/>
      <c r="C90" s="161"/>
      <c r="D90" s="120">
        <f>SUM(D89:D89)</f>
        <v>100000</v>
      </c>
      <c r="E90" s="120">
        <f>SUM(E89:E89)</f>
        <v>0</v>
      </c>
      <c r="F90" s="120">
        <f>SUM(F89:F89)</f>
        <v>100000</v>
      </c>
      <c r="G90" s="120">
        <f>SUM(G89:G89)</f>
        <v>100000</v>
      </c>
      <c r="H90" s="120">
        <f t="shared" si="14"/>
        <v>0</v>
      </c>
      <c r="I90" s="120">
        <f>SUM(I89:I89)</f>
        <v>0</v>
      </c>
      <c r="J90" s="120">
        <f t="shared" ref="J90" si="16">IFERROR(I90/G90*100,)</f>
        <v>0</v>
      </c>
    </row>
    <row r="91" spans="1:10" x14ac:dyDescent="0.4">
      <c r="A91" s="162"/>
      <c r="B91" s="162"/>
      <c r="C91" s="162"/>
      <c r="D91" s="162"/>
      <c r="E91" s="251"/>
      <c r="F91" s="251"/>
      <c r="G91" s="162"/>
      <c r="H91" s="162"/>
      <c r="I91" s="162"/>
      <c r="J91" s="162"/>
    </row>
    <row r="92" spans="1:10" x14ac:dyDescent="0.4">
      <c r="A92" s="755" t="s">
        <v>259</v>
      </c>
      <c r="B92" s="756"/>
      <c r="C92" s="163"/>
      <c r="D92" s="163"/>
      <c r="E92" s="163"/>
      <c r="F92" s="163"/>
      <c r="G92" s="163"/>
      <c r="H92" s="163"/>
      <c r="I92" s="163"/>
      <c r="J92" s="164"/>
    </row>
    <row r="93" spans="1:10" x14ac:dyDescent="0.4">
      <c r="A93" s="165"/>
      <c r="B93" s="166"/>
      <c r="C93" s="166"/>
      <c r="D93" s="166"/>
      <c r="E93" s="166"/>
      <c r="F93" s="166"/>
      <c r="G93" s="166"/>
      <c r="H93" s="166"/>
      <c r="I93" s="166"/>
      <c r="J93" s="167"/>
    </row>
    <row r="95" spans="1:10" ht="28.5" x14ac:dyDescent="0.4">
      <c r="A95" s="763" t="s">
        <v>77</v>
      </c>
      <c r="B95" s="757"/>
      <c r="C95" s="752" t="s">
        <v>365</v>
      </c>
      <c r="D95" s="753"/>
      <c r="E95" s="753"/>
      <c r="F95" s="753"/>
      <c r="G95" s="753"/>
      <c r="H95" s="753"/>
      <c r="I95" s="753"/>
      <c r="J95" s="754"/>
    </row>
    <row r="96" spans="1:10" ht="28.5" x14ac:dyDescent="0.4">
      <c r="A96" s="757" t="s">
        <v>41</v>
      </c>
      <c r="B96" s="757"/>
      <c r="C96" s="752" t="s">
        <v>36</v>
      </c>
      <c r="D96" s="753"/>
      <c r="E96" s="753"/>
      <c r="F96" s="753"/>
      <c r="G96" s="753"/>
      <c r="H96" s="753"/>
      <c r="I96" s="753"/>
      <c r="J96" s="754"/>
    </row>
    <row r="97" spans="1:10" x14ac:dyDescent="0.4">
      <c r="A97" s="159"/>
      <c r="B97" s="159"/>
      <c r="C97" s="159"/>
      <c r="D97" s="68"/>
      <c r="E97" s="68"/>
      <c r="F97" s="68"/>
      <c r="G97" s="68"/>
      <c r="H97" s="68"/>
      <c r="I97" s="68" t="s">
        <v>208</v>
      </c>
      <c r="J97" s="68"/>
    </row>
    <row r="98" spans="1:10" x14ac:dyDescent="0.4">
      <c r="A98" s="758" t="s">
        <v>285</v>
      </c>
      <c r="B98" s="759"/>
      <c r="C98" s="759"/>
      <c r="D98" s="758" t="s">
        <v>286</v>
      </c>
      <c r="E98" s="759"/>
      <c r="F98" s="759"/>
      <c r="G98" s="759"/>
      <c r="H98" s="760"/>
      <c r="I98" s="764" t="s">
        <v>209</v>
      </c>
      <c r="J98" s="765"/>
    </row>
    <row r="99" spans="1:10" x14ac:dyDescent="0.4">
      <c r="A99" s="758" t="s">
        <v>83</v>
      </c>
      <c r="B99" s="759"/>
      <c r="C99" s="760"/>
      <c r="D99" s="766" t="s">
        <v>297</v>
      </c>
      <c r="E99" s="758" t="s">
        <v>298</v>
      </c>
      <c r="F99" s="759"/>
      <c r="G99" s="760"/>
      <c r="H99" s="768" t="s">
        <v>299</v>
      </c>
      <c r="I99" s="761" t="s">
        <v>300</v>
      </c>
      <c r="J99" s="761" t="s">
        <v>301</v>
      </c>
    </row>
    <row r="100" spans="1:10" ht="78.75" x14ac:dyDescent="0.4">
      <c r="A100" s="160" t="s">
        <v>183</v>
      </c>
      <c r="B100" s="160" t="s">
        <v>182</v>
      </c>
      <c r="C100" s="130" t="s">
        <v>124</v>
      </c>
      <c r="D100" s="767"/>
      <c r="E100" s="160" t="s">
        <v>692</v>
      </c>
      <c r="F100" s="160" t="s">
        <v>693</v>
      </c>
      <c r="G100" s="160" t="s">
        <v>192</v>
      </c>
      <c r="H100" s="768"/>
      <c r="I100" s="762"/>
      <c r="J100" s="762"/>
    </row>
    <row r="101" spans="1:10" ht="105" x14ac:dyDescent="0.4">
      <c r="A101" s="189">
        <v>12</v>
      </c>
      <c r="B101" s="173" t="s">
        <v>366</v>
      </c>
      <c r="C101" s="29" t="s">
        <v>178</v>
      </c>
      <c r="D101" s="175">
        <v>58330</v>
      </c>
      <c r="E101" s="168"/>
      <c r="F101" s="249">
        <v>40935</v>
      </c>
      <c r="G101" s="147">
        <f>E101+F101</f>
        <v>40935</v>
      </c>
      <c r="H101" s="132">
        <f>IFERROR(G101/D101*100-100,0)</f>
        <v>-29.821704097376994</v>
      </c>
      <c r="I101" s="169"/>
      <c r="J101" s="170">
        <f t="shared" ref="J101:J121" si="17">IFERROR(I101/G101*100,)</f>
        <v>0</v>
      </c>
    </row>
    <row r="102" spans="1:10" ht="52.5" x14ac:dyDescent="0.4">
      <c r="A102" s="189">
        <v>10</v>
      </c>
      <c r="B102" s="173" t="s">
        <v>367</v>
      </c>
      <c r="C102" s="29" t="s">
        <v>178</v>
      </c>
      <c r="D102" s="175"/>
      <c r="E102" s="131"/>
      <c r="F102" s="131"/>
      <c r="G102" s="147">
        <f t="shared" ref="G102:G121" si="18">E102+F102</f>
        <v>0</v>
      </c>
      <c r="H102" s="132">
        <f t="shared" ref="H102:H121" si="19">IFERROR(G102/D102*100-100,0)</f>
        <v>0</v>
      </c>
      <c r="I102" s="133"/>
      <c r="J102" s="148">
        <f t="shared" si="17"/>
        <v>0</v>
      </c>
    </row>
    <row r="103" spans="1:10" ht="52.5" x14ac:dyDescent="0.4">
      <c r="A103" s="188">
        <v>1</v>
      </c>
      <c r="B103" s="173" t="s">
        <v>368</v>
      </c>
      <c r="C103" s="29" t="s">
        <v>178</v>
      </c>
      <c r="D103" s="175">
        <v>5670</v>
      </c>
      <c r="E103" s="131"/>
      <c r="F103" s="131"/>
      <c r="G103" s="147">
        <f t="shared" si="18"/>
        <v>0</v>
      </c>
      <c r="H103" s="132">
        <f t="shared" si="19"/>
        <v>-100</v>
      </c>
      <c r="I103" s="133"/>
      <c r="J103" s="148">
        <f t="shared" si="17"/>
        <v>0</v>
      </c>
    </row>
    <row r="104" spans="1:10" ht="52.5" x14ac:dyDescent="0.4">
      <c r="A104" s="188">
        <v>1</v>
      </c>
      <c r="B104" s="173" t="s">
        <v>369</v>
      </c>
      <c r="C104" s="29" t="s">
        <v>178</v>
      </c>
      <c r="D104" s="175"/>
      <c r="E104" s="131"/>
      <c r="F104" s="131"/>
      <c r="G104" s="147">
        <f t="shared" si="18"/>
        <v>0</v>
      </c>
      <c r="H104" s="132">
        <f t="shared" si="19"/>
        <v>0</v>
      </c>
      <c r="I104" s="133"/>
      <c r="J104" s="148">
        <f t="shared" si="17"/>
        <v>0</v>
      </c>
    </row>
    <row r="105" spans="1:10" ht="78.75" x14ac:dyDescent="0.4">
      <c r="A105" s="188">
        <v>1</v>
      </c>
      <c r="B105" s="29" t="s">
        <v>370</v>
      </c>
      <c r="C105" s="29" t="s">
        <v>178</v>
      </c>
      <c r="D105" s="175"/>
      <c r="E105" s="131"/>
      <c r="F105" s="131"/>
      <c r="G105" s="147">
        <f t="shared" si="18"/>
        <v>0</v>
      </c>
      <c r="H105" s="132">
        <f t="shared" si="19"/>
        <v>0</v>
      </c>
      <c r="I105" s="133"/>
      <c r="J105" s="148">
        <f t="shared" si="17"/>
        <v>0</v>
      </c>
    </row>
    <row r="106" spans="1:10" ht="52.5" x14ac:dyDescent="0.4">
      <c r="A106" s="188">
        <v>1</v>
      </c>
      <c r="B106" s="187" t="s">
        <v>371</v>
      </c>
      <c r="C106" s="29" t="s">
        <v>145</v>
      </c>
      <c r="D106" s="175"/>
      <c r="E106" s="131"/>
      <c r="F106" s="131"/>
      <c r="G106" s="147">
        <f t="shared" si="18"/>
        <v>0</v>
      </c>
      <c r="H106" s="132">
        <f t="shared" si="19"/>
        <v>0</v>
      </c>
      <c r="I106" s="133"/>
      <c r="J106" s="148">
        <f t="shared" si="17"/>
        <v>0</v>
      </c>
    </row>
    <row r="107" spans="1:10" ht="52.5" x14ac:dyDescent="0.4">
      <c r="A107" s="188">
        <v>1</v>
      </c>
      <c r="B107" s="178" t="s">
        <v>372</v>
      </c>
      <c r="C107" s="29" t="s">
        <v>145</v>
      </c>
      <c r="D107" s="131"/>
      <c r="E107" s="131"/>
      <c r="F107" s="175"/>
      <c r="G107" s="147">
        <f t="shared" si="18"/>
        <v>0</v>
      </c>
      <c r="H107" s="132">
        <f t="shared" si="19"/>
        <v>0</v>
      </c>
      <c r="I107" s="133"/>
      <c r="J107" s="148">
        <f t="shared" si="17"/>
        <v>0</v>
      </c>
    </row>
    <row r="108" spans="1:10" x14ac:dyDescent="0.4">
      <c r="A108" s="188">
        <v>1</v>
      </c>
      <c r="B108" s="178" t="s">
        <v>373</v>
      </c>
      <c r="C108" s="29" t="s">
        <v>178</v>
      </c>
      <c r="D108" s="131"/>
      <c r="E108" s="131"/>
      <c r="F108" s="175"/>
      <c r="G108" s="147">
        <f t="shared" si="18"/>
        <v>0</v>
      </c>
      <c r="H108" s="132">
        <f t="shared" si="19"/>
        <v>0</v>
      </c>
      <c r="I108" s="133"/>
      <c r="J108" s="148">
        <f t="shared" si="17"/>
        <v>0</v>
      </c>
    </row>
    <row r="109" spans="1:10" ht="52.5" x14ac:dyDescent="0.4">
      <c r="A109" s="188">
        <v>1</v>
      </c>
      <c r="B109" s="29" t="s">
        <v>374</v>
      </c>
      <c r="C109" s="29" t="s">
        <v>178</v>
      </c>
      <c r="D109" s="131"/>
      <c r="E109" s="131"/>
      <c r="F109" s="175"/>
      <c r="G109" s="147">
        <f t="shared" si="18"/>
        <v>0</v>
      </c>
      <c r="H109" s="132">
        <f t="shared" si="19"/>
        <v>0</v>
      </c>
      <c r="I109" s="133"/>
      <c r="J109" s="148">
        <f t="shared" si="17"/>
        <v>0</v>
      </c>
    </row>
    <row r="110" spans="1:10" ht="52.5" x14ac:dyDescent="0.4">
      <c r="A110" s="188">
        <v>1</v>
      </c>
      <c r="B110" s="174" t="s">
        <v>375</v>
      </c>
      <c r="C110" s="29" t="s">
        <v>145</v>
      </c>
      <c r="D110" s="131"/>
      <c r="E110" s="131"/>
      <c r="F110" s="175"/>
      <c r="G110" s="147">
        <f t="shared" si="18"/>
        <v>0</v>
      </c>
      <c r="H110" s="132">
        <f t="shared" si="19"/>
        <v>0</v>
      </c>
      <c r="I110" s="133"/>
      <c r="J110" s="148">
        <f t="shared" si="17"/>
        <v>0</v>
      </c>
    </row>
    <row r="111" spans="1:10" ht="52.5" x14ac:dyDescent="0.4">
      <c r="A111" s="188">
        <v>1</v>
      </c>
      <c r="B111" s="174" t="s">
        <v>376</v>
      </c>
      <c r="C111" s="29" t="s">
        <v>178</v>
      </c>
      <c r="D111" s="131"/>
      <c r="E111" s="131"/>
      <c r="F111" s="131"/>
      <c r="G111" s="147">
        <f t="shared" si="18"/>
        <v>0</v>
      </c>
      <c r="H111" s="132">
        <f t="shared" si="19"/>
        <v>0</v>
      </c>
      <c r="I111" s="133"/>
      <c r="J111" s="148">
        <f t="shared" si="17"/>
        <v>0</v>
      </c>
    </row>
    <row r="112" spans="1:10" ht="52.5" x14ac:dyDescent="0.4">
      <c r="A112" s="190">
        <v>1</v>
      </c>
      <c r="B112" s="174" t="s">
        <v>377</v>
      </c>
      <c r="C112" s="29" t="s">
        <v>145</v>
      </c>
      <c r="D112" s="131"/>
      <c r="E112" s="131"/>
      <c r="F112" s="131"/>
      <c r="G112" s="147">
        <f t="shared" si="18"/>
        <v>0</v>
      </c>
      <c r="H112" s="132">
        <f t="shared" si="19"/>
        <v>0</v>
      </c>
      <c r="I112" s="133"/>
      <c r="J112" s="148">
        <f t="shared" si="17"/>
        <v>0</v>
      </c>
    </row>
    <row r="113" spans="1:11" ht="78.75" x14ac:dyDescent="0.4">
      <c r="A113" s="188">
        <v>1</v>
      </c>
      <c r="B113" s="174" t="s">
        <v>378</v>
      </c>
      <c r="C113" s="29" t="s">
        <v>178</v>
      </c>
      <c r="D113" s="131"/>
      <c r="E113" s="131"/>
      <c r="F113" s="131"/>
      <c r="G113" s="147">
        <f t="shared" si="18"/>
        <v>0</v>
      </c>
      <c r="H113" s="132">
        <f t="shared" si="19"/>
        <v>0</v>
      </c>
      <c r="I113" s="133"/>
      <c r="J113" s="148">
        <f t="shared" si="17"/>
        <v>0</v>
      </c>
    </row>
    <row r="114" spans="1:11" ht="78.75" x14ac:dyDescent="0.4">
      <c r="A114" s="188">
        <v>1</v>
      </c>
      <c r="B114" s="174" t="s">
        <v>379</v>
      </c>
      <c r="C114" s="29" t="s">
        <v>135</v>
      </c>
      <c r="D114" s="131"/>
      <c r="E114" s="131"/>
      <c r="F114" s="131"/>
      <c r="G114" s="147">
        <f t="shared" si="18"/>
        <v>0</v>
      </c>
      <c r="H114" s="132">
        <f t="shared" si="19"/>
        <v>0</v>
      </c>
      <c r="I114" s="133"/>
      <c r="J114" s="148">
        <f t="shared" si="17"/>
        <v>0</v>
      </c>
    </row>
    <row r="115" spans="1:11" ht="52.5" x14ac:dyDescent="0.4">
      <c r="A115" s="188">
        <v>1</v>
      </c>
      <c r="B115" s="174" t="s">
        <v>380</v>
      </c>
      <c r="C115" s="29" t="s">
        <v>178</v>
      </c>
      <c r="D115" s="131"/>
      <c r="E115" s="131"/>
      <c r="F115" s="131"/>
      <c r="G115" s="147">
        <f t="shared" si="18"/>
        <v>0</v>
      </c>
      <c r="H115" s="132">
        <f t="shared" si="19"/>
        <v>0</v>
      </c>
      <c r="I115" s="133"/>
      <c r="J115" s="148">
        <f t="shared" si="17"/>
        <v>0</v>
      </c>
    </row>
    <row r="116" spans="1:11" ht="105" x14ac:dyDescent="0.4">
      <c r="A116" s="188">
        <v>1</v>
      </c>
      <c r="B116" s="174" t="s">
        <v>381</v>
      </c>
      <c r="C116" s="29" t="s">
        <v>178</v>
      </c>
      <c r="D116" s="131"/>
      <c r="E116" s="131"/>
      <c r="F116" s="131"/>
      <c r="G116" s="147">
        <f t="shared" si="18"/>
        <v>0</v>
      </c>
      <c r="H116" s="132">
        <f t="shared" si="19"/>
        <v>0</v>
      </c>
      <c r="I116" s="133"/>
      <c r="J116" s="148">
        <f t="shared" si="17"/>
        <v>0</v>
      </c>
    </row>
    <row r="117" spans="1:11" ht="52.5" x14ac:dyDescent="0.4">
      <c r="A117" s="188">
        <v>1</v>
      </c>
      <c r="B117" s="174" t="s">
        <v>382</v>
      </c>
      <c r="C117" s="29" t="s">
        <v>178</v>
      </c>
      <c r="D117" s="131"/>
      <c r="E117" s="131"/>
      <c r="F117" s="131"/>
      <c r="G117" s="147">
        <f t="shared" si="18"/>
        <v>0</v>
      </c>
      <c r="H117" s="132">
        <f t="shared" si="19"/>
        <v>0</v>
      </c>
      <c r="I117" s="133"/>
      <c r="J117" s="148">
        <f t="shared" si="17"/>
        <v>0</v>
      </c>
    </row>
    <row r="118" spans="1:11" ht="52.5" x14ac:dyDescent="0.4">
      <c r="A118" s="188">
        <v>1</v>
      </c>
      <c r="B118" s="174" t="s">
        <v>383</v>
      </c>
      <c r="C118" s="29" t="s">
        <v>178</v>
      </c>
      <c r="D118" s="131"/>
      <c r="E118" s="131"/>
      <c r="F118" s="131"/>
      <c r="G118" s="147">
        <f t="shared" si="18"/>
        <v>0</v>
      </c>
      <c r="H118" s="132">
        <f t="shared" si="19"/>
        <v>0</v>
      </c>
      <c r="I118" s="133"/>
      <c r="J118" s="148">
        <f t="shared" si="17"/>
        <v>0</v>
      </c>
    </row>
    <row r="119" spans="1:11" ht="157.5" x14ac:dyDescent="0.4">
      <c r="A119" s="188">
        <v>10</v>
      </c>
      <c r="B119" s="174" t="s">
        <v>384</v>
      </c>
      <c r="C119" s="29" t="s">
        <v>178</v>
      </c>
      <c r="D119" s="131"/>
      <c r="E119" s="131"/>
      <c r="F119" s="131">
        <v>50000</v>
      </c>
      <c r="G119" s="147">
        <f t="shared" si="18"/>
        <v>50000</v>
      </c>
      <c r="H119" s="132">
        <f t="shared" si="19"/>
        <v>0</v>
      </c>
      <c r="I119" s="133"/>
      <c r="J119" s="148">
        <f t="shared" si="17"/>
        <v>0</v>
      </c>
    </row>
    <row r="120" spans="1:11" ht="52.5" x14ac:dyDescent="0.4">
      <c r="A120" s="188">
        <v>1</v>
      </c>
      <c r="B120" s="174" t="s">
        <v>385</v>
      </c>
      <c r="C120" s="29" t="s">
        <v>178</v>
      </c>
      <c r="D120" s="131"/>
      <c r="E120" s="131"/>
      <c r="F120" s="131"/>
      <c r="G120" s="147">
        <f t="shared" si="18"/>
        <v>0</v>
      </c>
      <c r="H120" s="132">
        <f t="shared" si="19"/>
        <v>0</v>
      </c>
      <c r="I120" s="133"/>
      <c r="J120" s="148">
        <f t="shared" si="17"/>
        <v>0</v>
      </c>
    </row>
    <row r="121" spans="1:11" ht="85.5" customHeight="1" x14ac:dyDescent="0.4">
      <c r="A121" s="190">
        <v>1</v>
      </c>
      <c r="B121" s="174" t="s">
        <v>386</v>
      </c>
      <c r="C121" s="29" t="s">
        <v>141</v>
      </c>
      <c r="D121" s="131"/>
      <c r="E121" s="131"/>
      <c r="F121" s="131"/>
      <c r="G121" s="147">
        <f t="shared" si="18"/>
        <v>0</v>
      </c>
      <c r="H121" s="132">
        <f t="shared" si="19"/>
        <v>0</v>
      </c>
      <c r="I121" s="133"/>
      <c r="J121" s="148">
        <f t="shared" si="17"/>
        <v>0</v>
      </c>
    </row>
    <row r="122" spans="1:11" x14ac:dyDescent="0.4">
      <c r="A122" s="161" t="s">
        <v>0</v>
      </c>
      <c r="B122" s="161"/>
      <c r="C122" s="161"/>
      <c r="D122" s="120">
        <f>SUM(D101:D121)</f>
        <v>64000</v>
      </c>
      <c r="E122" s="120">
        <f>SUM(E101:E121)</f>
        <v>0</v>
      </c>
      <c r="F122" s="120">
        <f>SUM(F101:F121)</f>
        <v>90935</v>
      </c>
      <c r="G122" s="120">
        <f>SUM(G101:G121)</f>
        <v>90935</v>
      </c>
      <c r="H122" s="120">
        <f t="shared" ref="H122" si="20">IFERROR(G122/D122*100-100,0)</f>
        <v>42.0859375</v>
      </c>
      <c r="I122" s="120">
        <f>SUM(I101:I121)</f>
        <v>0</v>
      </c>
      <c r="J122" s="120">
        <f t="shared" ref="J122" si="21">IFERROR(I122/G122*100,)</f>
        <v>0</v>
      </c>
      <c r="K122" s="205"/>
    </row>
    <row r="123" spans="1:11" x14ac:dyDescent="0.4">
      <c r="A123" s="162"/>
      <c r="B123" s="162"/>
      <c r="C123" s="162"/>
      <c r="D123" s="162"/>
      <c r="E123" s="251"/>
      <c r="F123" s="251"/>
      <c r="G123" s="162"/>
      <c r="H123" s="162"/>
      <c r="I123" s="162"/>
      <c r="J123" s="162"/>
    </row>
    <row r="124" spans="1:11" x14ac:dyDescent="0.4">
      <c r="A124" s="755" t="s">
        <v>259</v>
      </c>
      <c r="B124" s="756"/>
      <c r="C124" s="163"/>
      <c r="D124" s="163"/>
      <c r="E124" s="163"/>
      <c r="F124" s="163"/>
      <c r="G124" s="163"/>
      <c r="H124" s="163"/>
      <c r="I124" s="163"/>
      <c r="J124" s="164"/>
    </row>
    <row r="125" spans="1:11" x14ac:dyDescent="0.4">
      <c r="A125" s="165"/>
      <c r="B125" s="166"/>
      <c r="C125" s="166"/>
      <c r="D125" s="166"/>
      <c r="E125" s="166"/>
      <c r="F125" s="166"/>
      <c r="G125" s="166"/>
      <c r="H125" s="166"/>
      <c r="I125" s="166"/>
      <c r="J125" s="167"/>
    </row>
    <row r="127" spans="1:11" ht="28.5" x14ac:dyDescent="0.4">
      <c r="A127" s="763" t="s">
        <v>77</v>
      </c>
      <c r="B127" s="757"/>
      <c r="C127" s="752" t="s">
        <v>387</v>
      </c>
      <c r="D127" s="753"/>
      <c r="E127" s="753"/>
      <c r="F127" s="753"/>
      <c r="G127" s="753"/>
      <c r="H127" s="753"/>
      <c r="I127" s="753"/>
      <c r="J127" s="754"/>
    </row>
    <row r="128" spans="1:11" ht="28.5" x14ac:dyDescent="0.4">
      <c r="A128" s="757" t="s">
        <v>41</v>
      </c>
      <c r="B128" s="757"/>
      <c r="C128" s="752" t="s">
        <v>150</v>
      </c>
      <c r="D128" s="753"/>
      <c r="E128" s="753"/>
      <c r="F128" s="753"/>
      <c r="G128" s="753"/>
      <c r="H128" s="753"/>
      <c r="I128" s="753"/>
      <c r="J128" s="754"/>
    </row>
    <row r="129" spans="1:10" x14ac:dyDescent="0.4">
      <c r="A129" s="159"/>
      <c r="B129" s="159"/>
      <c r="C129" s="159"/>
      <c r="D129" s="68"/>
      <c r="E129" s="68"/>
      <c r="F129" s="68"/>
      <c r="G129" s="68"/>
      <c r="H129" s="68"/>
      <c r="I129" s="68" t="s">
        <v>208</v>
      </c>
      <c r="J129" s="68"/>
    </row>
    <row r="130" spans="1:10" x14ac:dyDescent="0.4">
      <c r="A130" s="758" t="s">
        <v>285</v>
      </c>
      <c r="B130" s="759"/>
      <c r="C130" s="759"/>
      <c r="D130" s="758" t="s">
        <v>286</v>
      </c>
      <c r="E130" s="759"/>
      <c r="F130" s="759"/>
      <c r="G130" s="759"/>
      <c r="H130" s="760"/>
      <c r="I130" s="764" t="s">
        <v>209</v>
      </c>
      <c r="J130" s="765"/>
    </row>
    <row r="131" spans="1:10" x14ac:dyDescent="0.4">
      <c r="A131" s="758" t="s">
        <v>83</v>
      </c>
      <c r="B131" s="759"/>
      <c r="C131" s="760"/>
      <c r="D131" s="766" t="s">
        <v>297</v>
      </c>
      <c r="E131" s="758" t="s">
        <v>298</v>
      </c>
      <c r="F131" s="759"/>
      <c r="G131" s="760"/>
      <c r="H131" s="768" t="s">
        <v>299</v>
      </c>
      <c r="I131" s="761" t="s">
        <v>300</v>
      </c>
      <c r="J131" s="761" t="s">
        <v>301</v>
      </c>
    </row>
    <row r="132" spans="1:10" ht="78.75" x14ac:dyDescent="0.4">
      <c r="A132" s="160" t="s">
        <v>183</v>
      </c>
      <c r="B132" s="160" t="s">
        <v>182</v>
      </c>
      <c r="C132" s="130" t="s">
        <v>124</v>
      </c>
      <c r="D132" s="767"/>
      <c r="E132" s="160" t="s">
        <v>692</v>
      </c>
      <c r="F132" s="160" t="s">
        <v>693</v>
      </c>
      <c r="G132" s="160" t="s">
        <v>192</v>
      </c>
      <c r="H132" s="768"/>
      <c r="I132" s="762"/>
      <c r="J132" s="762"/>
    </row>
    <row r="133" spans="1:10" ht="105" x14ac:dyDescent="0.4">
      <c r="A133" s="189">
        <v>12</v>
      </c>
      <c r="B133" s="173" t="s">
        <v>388</v>
      </c>
      <c r="C133" s="29" t="s">
        <v>151</v>
      </c>
      <c r="D133" s="175">
        <v>83430</v>
      </c>
      <c r="E133" s="168"/>
      <c r="F133" s="249">
        <v>84380</v>
      </c>
      <c r="G133" s="147">
        <f>E133+F133</f>
        <v>84380</v>
      </c>
      <c r="H133" s="132">
        <f>IFERROR(G133/D133*100-100,0)</f>
        <v>1.1386791322066472</v>
      </c>
      <c r="I133" s="169"/>
      <c r="J133" s="170">
        <f t="shared" ref="J133:J143" si="22">IFERROR(I133/G133*100,)</f>
        <v>0</v>
      </c>
    </row>
    <row r="134" spans="1:10" ht="78.75" x14ac:dyDescent="0.4">
      <c r="A134" s="189">
        <v>6</v>
      </c>
      <c r="B134" s="173" t="s">
        <v>389</v>
      </c>
      <c r="C134" s="29" t="s">
        <v>151</v>
      </c>
      <c r="D134" s="175"/>
      <c r="E134" s="131"/>
      <c r="F134" s="247"/>
      <c r="G134" s="147">
        <f t="shared" ref="G134:G143" si="23">E134+F134</f>
        <v>0</v>
      </c>
      <c r="H134" s="132">
        <f t="shared" ref="H134:H143" si="24">IFERROR(G134/D134*100-100,0)</f>
        <v>0</v>
      </c>
      <c r="I134" s="133"/>
      <c r="J134" s="148">
        <f t="shared" si="22"/>
        <v>0</v>
      </c>
    </row>
    <row r="135" spans="1:10" ht="78.75" x14ac:dyDescent="0.4">
      <c r="A135" s="189">
        <v>1</v>
      </c>
      <c r="B135" s="173" t="s">
        <v>390</v>
      </c>
      <c r="C135" s="29" t="s">
        <v>151</v>
      </c>
      <c r="D135" s="175">
        <v>4860</v>
      </c>
      <c r="E135" s="131"/>
      <c r="F135" s="247">
        <v>6000</v>
      </c>
      <c r="G135" s="147">
        <f t="shared" si="23"/>
        <v>6000</v>
      </c>
      <c r="H135" s="132">
        <f t="shared" si="24"/>
        <v>23.456790123456784</v>
      </c>
      <c r="I135" s="133"/>
      <c r="J135" s="148">
        <f t="shared" si="22"/>
        <v>0</v>
      </c>
    </row>
    <row r="136" spans="1:10" ht="78.75" x14ac:dyDescent="0.4">
      <c r="A136" s="189">
        <v>1</v>
      </c>
      <c r="B136" s="173" t="s">
        <v>391</v>
      </c>
      <c r="C136" s="29" t="s">
        <v>153</v>
      </c>
      <c r="D136" s="175">
        <v>1620</v>
      </c>
      <c r="E136" s="131"/>
      <c r="F136" s="247">
        <v>1620</v>
      </c>
      <c r="G136" s="147">
        <f t="shared" si="23"/>
        <v>1620</v>
      </c>
      <c r="H136" s="132">
        <f t="shared" si="24"/>
        <v>0</v>
      </c>
      <c r="I136" s="133"/>
      <c r="J136" s="148">
        <f t="shared" si="22"/>
        <v>0</v>
      </c>
    </row>
    <row r="137" spans="1:10" ht="78.75" x14ac:dyDescent="0.4">
      <c r="A137" s="189">
        <v>1</v>
      </c>
      <c r="B137" s="173" t="s">
        <v>392</v>
      </c>
      <c r="C137" s="29" t="s">
        <v>153</v>
      </c>
      <c r="D137" s="175">
        <v>2090</v>
      </c>
      <c r="E137" s="131"/>
      <c r="F137" s="247"/>
      <c r="G137" s="147">
        <f t="shared" si="23"/>
        <v>0</v>
      </c>
      <c r="H137" s="132">
        <f t="shared" si="24"/>
        <v>-100</v>
      </c>
      <c r="I137" s="133"/>
      <c r="J137" s="148">
        <f t="shared" si="22"/>
        <v>0</v>
      </c>
    </row>
    <row r="138" spans="1:10" x14ac:dyDescent="0.4">
      <c r="A138" s="189">
        <v>1</v>
      </c>
      <c r="B138" s="187" t="s">
        <v>395</v>
      </c>
      <c r="C138" s="29" t="s">
        <v>178</v>
      </c>
      <c r="D138" s="175"/>
      <c r="E138" s="131"/>
      <c r="F138" s="131"/>
      <c r="G138" s="147">
        <f t="shared" si="23"/>
        <v>0</v>
      </c>
      <c r="H138" s="132">
        <f t="shared" si="24"/>
        <v>0</v>
      </c>
      <c r="I138" s="133"/>
      <c r="J138" s="148">
        <f t="shared" si="22"/>
        <v>0</v>
      </c>
    </row>
    <row r="139" spans="1:10" ht="78.75" x14ac:dyDescent="0.4">
      <c r="A139" s="189">
        <v>1</v>
      </c>
      <c r="B139" s="178" t="s">
        <v>393</v>
      </c>
      <c r="C139" s="29" t="s">
        <v>153</v>
      </c>
      <c r="D139" s="131"/>
      <c r="E139" s="131"/>
      <c r="F139" s="175"/>
      <c r="G139" s="147">
        <f t="shared" si="23"/>
        <v>0</v>
      </c>
      <c r="H139" s="132">
        <f t="shared" si="24"/>
        <v>0</v>
      </c>
      <c r="I139" s="133"/>
      <c r="J139" s="148">
        <f t="shared" si="22"/>
        <v>0</v>
      </c>
    </row>
    <row r="140" spans="1:10" ht="78.75" x14ac:dyDescent="0.4">
      <c r="A140" s="189">
        <v>1</v>
      </c>
      <c r="B140" s="178" t="s">
        <v>394</v>
      </c>
      <c r="C140" s="29" t="s">
        <v>178</v>
      </c>
      <c r="D140" s="131"/>
      <c r="E140" s="131"/>
      <c r="F140" s="175"/>
      <c r="G140" s="147">
        <f t="shared" si="23"/>
        <v>0</v>
      </c>
      <c r="H140" s="132">
        <f t="shared" si="24"/>
        <v>0</v>
      </c>
      <c r="I140" s="133"/>
      <c r="J140" s="148">
        <f t="shared" si="22"/>
        <v>0</v>
      </c>
    </row>
    <row r="141" spans="1:10" ht="78.75" x14ac:dyDescent="0.4">
      <c r="A141" s="189">
        <v>1</v>
      </c>
      <c r="B141" s="29" t="s">
        <v>396</v>
      </c>
      <c r="C141" s="29" t="s">
        <v>178</v>
      </c>
      <c r="D141" s="131"/>
      <c r="E141" s="131"/>
      <c r="F141" s="175"/>
      <c r="G141" s="147">
        <f t="shared" si="23"/>
        <v>0</v>
      </c>
      <c r="H141" s="132">
        <f t="shared" si="24"/>
        <v>0</v>
      </c>
      <c r="I141" s="133"/>
      <c r="J141" s="148">
        <f t="shared" si="22"/>
        <v>0</v>
      </c>
    </row>
    <row r="142" spans="1:10" ht="52.5" x14ac:dyDescent="0.4">
      <c r="A142" s="189">
        <v>1</v>
      </c>
      <c r="B142" s="174" t="s">
        <v>397</v>
      </c>
      <c r="C142" s="29" t="s">
        <v>153</v>
      </c>
      <c r="D142" s="131"/>
      <c r="E142" s="131"/>
      <c r="F142" s="175"/>
      <c r="G142" s="147">
        <f t="shared" si="23"/>
        <v>0</v>
      </c>
      <c r="H142" s="132">
        <f t="shared" si="24"/>
        <v>0</v>
      </c>
      <c r="I142" s="133"/>
      <c r="J142" s="148">
        <f t="shared" si="22"/>
        <v>0</v>
      </c>
    </row>
    <row r="143" spans="1:10" ht="78.75" x14ac:dyDescent="0.4">
      <c r="A143" s="189">
        <v>1</v>
      </c>
      <c r="B143" s="174" t="s">
        <v>398</v>
      </c>
      <c r="C143" s="29" t="s">
        <v>153</v>
      </c>
      <c r="D143" s="131"/>
      <c r="E143" s="131"/>
      <c r="F143" s="131"/>
      <c r="G143" s="147">
        <f t="shared" si="23"/>
        <v>0</v>
      </c>
      <c r="H143" s="132">
        <f t="shared" si="24"/>
        <v>0</v>
      </c>
      <c r="I143" s="133"/>
      <c r="J143" s="148">
        <f t="shared" si="22"/>
        <v>0</v>
      </c>
    </row>
    <row r="144" spans="1:10" x14ac:dyDescent="0.4">
      <c r="A144" s="161" t="s">
        <v>0</v>
      </c>
      <c r="B144" s="161"/>
      <c r="C144" s="161"/>
      <c r="D144" s="120">
        <f>SUM(D133:D143)</f>
        <v>92000</v>
      </c>
      <c r="E144" s="120">
        <f>SUM(E133:E143)</f>
        <v>0</v>
      </c>
      <c r="F144" s="120">
        <f>SUM(F133:F143)</f>
        <v>92000</v>
      </c>
      <c r="G144" s="120">
        <f>SUM(G133:G143)</f>
        <v>92000</v>
      </c>
      <c r="H144" s="120">
        <f t="shared" ref="H144" si="25">IFERROR(G144/D144*100-100,0)</f>
        <v>0</v>
      </c>
      <c r="I144" s="120">
        <f>SUM(I133:I143)</f>
        <v>0</v>
      </c>
      <c r="J144" s="120">
        <f t="shared" ref="J144" si="26">IFERROR(I144/G144*100,)</f>
        <v>0</v>
      </c>
    </row>
    <row r="145" spans="1:10" x14ac:dyDescent="0.4">
      <c r="A145" s="162"/>
      <c r="B145" s="162"/>
      <c r="C145" s="162"/>
      <c r="D145" s="224"/>
      <c r="E145" s="224"/>
      <c r="F145" s="224"/>
      <c r="G145" s="162"/>
      <c r="H145" s="162"/>
      <c r="I145" s="162"/>
      <c r="J145" s="162"/>
    </row>
    <row r="146" spans="1:10" x14ac:dyDescent="0.4">
      <c r="A146" s="755" t="s">
        <v>259</v>
      </c>
      <c r="B146" s="756"/>
      <c r="C146" s="163"/>
      <c r="D146" s="163"/>
      <c r="E146" s="163"/>
      <c r="F146" s="163"/>
      <c r="G146" s="163"/>
      <c r="H146" s="163"/>
      <c r="I146" s="163"/>
      <c r="J146" s="164"/>
    </row>
    <row r="147" spans="1:10" x14ac:dyDescent="0.4">
      <c r="A147" s="165"/>
      <c r="B147" s="166"/>
      <c r="C147" s="166"/>
      <c r="D147" s="166"/>
      <c r="E147" s="166"/>
      <c r="F147" s="166"/>
      <c r="G147" s="166"/>
      <c r="H147" s="166"/>
      <c r="I147" s="166"/>
      <c r="J147" s="167"/>
    </row>
    <row r="149" spans="1:10" ht="28.5" x14ac:dyDescent="0.4">
      <c r="A149" s="763" t="s">
        <v>77</v>
      </c>
      <c r="B149" s="757"/>
      <c r="C149" s="752" t="s">
        <v>399</v>
      </c>
      <c r="D149" s="753"/>
      <c r="E149" s="753"/>
      <c r="F149" s="753"/>
      <c r="G149" s="753"/>
      <c r="H149" s="753"/>
      <c r="I149" s="753"/>
      <c r="J149" s="754"/>
    </row>
    <row r="150" spans="1:10" ht="28.5" x14ac:dyDescent="0.4">
      <c r="A150" s="757" t="s">
        <v>41</v>
      </c>
      <c r="B150" s="757"/>
      <c r="C150" s="752" t="s">
        <v>33</v>
      </c>
      <c r="D150" s="753"/>
      <c r="E150" s="753"/>
      <c r="F150" s="753"/>
      <c r="G150" s="753"/>
      <c r="H150" s="753"/>
      <c r="I150" s="753"/>
      <c r="J150" s="754"/>
    </row>
    <row r="151" spans="1:10" x14ac:dyDescent="0.4">
      <c r="A151" s="159"/>
      <c r="B151" s="159"/>
      <c r="C151" s="159"/>
      <c r="D151" s="68"/>
      <c r="E151" s="68"/>
      <c r="F151" s="68"/>
      <c r="G151" s="68"/>
      <c r="H151" s="68"/>
      <c r="I151" s="68" t="s">
        <v>208</v>
      </c>
      <c r="J151" s="68"/>
    </row>
    <row r="152" spans="1:10" x14ac:dyDescent="0.4">
      <c r="A152" s="758" t="s">
        <v>285</v>
      </c>
      <c r="B152" s="759"/>
      <c r="C152" s="759"/>
      <c r="D152" s="758" t="s">
        <v>286</v>
      </c>
      <c r="E152" s="759"/>
      <c r="F152" s="759"/>
      <c r="G152" s="759"/>
      <c r="H152" s="760"/>
      <c r="I152" s="764" t="s">
        <v>209</v>
      </c>
      <c r="J152" s="765"/>
    </row>
    <row r="153" spans="1:10" x14ac:dyDescent="0.4">
      <c r="A153" s="758" t="s">
        <v>83</v>
      </c>
      <c r="B153" s="759"/>
      <c r="C153" s="760"/>
      <c r="D153" s="766" t="s">
        <v>297</v>
      </c>
      <c r="E153" s="758" t="s">
        <v>298</v>
      </c>
      <c r="F153" s="759"/>
      <c r="G153" s="760"/>
      <c r="H153" s="768" t="s">
        <v>299</v>
      </c>
      <c r="I153" s="761" t="s">
        <v>300</v>
      </c>
      <c r="J153" s="761" t="s">
        <v>301</v>
      </c>
    </row>
    <row r="154" spans="1:10" ht="78.75" x14ac:dyDescent="0.4">
      <c r="A154" s="160" t="s">
        <v>183</v>
      </c>
      <c r="B154" s="160" t="s">
        <v>182</v>
      </c>
      <c r="C154" s="130" t="s">
        <v>124</v>
      </c>
      <c r="D154" s="767"/>
      <c r="E154" s="160" t="s">
        <v>692</v>
      </c>
      <c r="F154" s="160" t="s">
        <v>693</v>
      </c>
      <c r="G154" s="160" t="s">
        <v>192</v>
      </c>
      <c r="H154" s="768"/>
      <c r="I154" s="762"/>
      <c r="J154" s="762"/>
    </row>
    <row r="155" spans="1:10" ht="105" x14ac:dyDescent="0.4">
      <c r="A155" s="189">
        <v>12</v>
      </c>
      <c r="B155" s="178" t="s">
        <v>400</v>
      </c>
      <c r="C155" s="29" t="s">
        <v>157</v>
      </c>
      <c r="D155" s="175">
        <v>72900</v>
      </c>
      <c r="E155" s="168"/>
      <c r="F155" s="249">
        <v>64000</v>
      </c>
      <c r="G155" s="147">
        <f>E155+F155</f>
        <v>64000</v>
      </c>
      <c r="H155" s="132">
        <f>IFERROR(G155/D155*100-100,0)</f>
        <v>-12.208504801097391</v>
      </c>
      <c r="I155" s="169"/>
      <c r="J155" s="170">
        <f t="shared" ref="J155:J163" si="27">IFERROR(I155/G155*100,)</f>
        <v>0</v>
      </c>
    </row>
    <row r="156" spans="1:10" ht="52.5" x14ac:dyDescent="0.4">
      <c r="A156" s="189">
        <v>6</v>
      </c>
      <c r="B156" s="178" t="s">
        <v>389</v>
      </c>
      <c r="C156" s="29" t="s">
        <v>157</v>
      </c>
      <c r="D156" s="175"/>
      <c r="E156" s="131"/>
      <c r="F156" s="131"/>
      <c r="G156" s="147">
        <f t="shared" ref="G156:G162" si="28">E156+F156</f>
        <v>0</v>
      </c>
      <c r="H156" s="132">
        <f t="shared" ref="H156:H162" si="29">IFERROR(G156/D156*100-100,0)</f>
        <v>0</v>
      </c>
      <c r="I156" s="133"/>
      <c r="J156" s="148">
        <f t="shared" si="27"/>
        <v>0</v>
      </c>
    </row>
    <row r="157" spans="1:10" ht="52.5" x14ac:dyDescent="0.4">
      <c r="A157" s="188">
        <v>15</v>
      </c>
      <c r="B157" s="178" t="s">
        <v>401</v>
      </c>
      <c r="C157" s="29" t="s">
        <v>155</v>
      </c>
      <c r="D157" s="175">
        <v>810</v>
      </c>
      <c r="E157" s="131"/>
      <c r="F157" s="131">
        <v>12000</v>
      </c>
      <c r="G157" s="147">
        <f t="shared" si="28"/>
        <v>12000</v>
      </c>
      <c r="H157" s="132">
        <f t="shared" si="29"/>
        <v>1381.4814814814815</v>
      </c>
      <c r="I157" s="133"/>
      <c r="J157" s="148">
        <f t="shared" si="27"/>
        <v>0</v>
      </c>
    </row>
    <row r="158" spans="1:10" ht="78.75" x14ac:dyDescent="0.4">
      <c r="A158" s="188">
        <v>1</v>
      </c>
      <c r="B158" s="178" t="s">
        <v>402</v>
      </c>
      <c r="C158" s="29" t="s">
        <v>159</v>
      </c>
      <c r="D158" s="175"/>
      <c r="E158" s="131"/>
      <c r="F158" s="131"/>
      <c r="G158" s="147">
        <f t="shared" si="28"/>
        <v>0</v>
      </c>
      <c r="H158" s="132">
        <f t="shared" si="29"/>
        <v>0</v>
      </c>
      <c r="I158" s="133"/>
      <c r="J158" s="148">
        <f t="shared" si="27"/>
        <v>0</v>
      </c>
    </row>
    <row r="159" spans="1:10" ht="78.75" x14ac:dyDescent="0.4">
      <c r="A159" s="188">
        <v>1</v>
      </c>
      <c r="B159" s="178" t="s">
        <v>403</v>
      </c>
      <c r="C159" s="29" t="s">
        <v>159</v>
      </c>
      <c r="D159" s="175">
        <v>2290</v>
      </c>
      <c r="E159" s="131"/>
      <c r="F159" s="131"/>
      <c r="G159" s="147">
        <f t="shared" si="28"/>
        <v>0</v>
      </c>
      <c r="H159" s="132">
        <f t="shared" si="29"/>
        <v>-100</v>
      </c>
      <c r="I159" s="133"/>
      <c r="J159" s="148">
        <f t="shared" si="27"/>
        <v>0</v>
      </c>
    </row>
    <row r="160" spans="1:10" ht="105" x14ac:dyDescent="0.4">
      <c r="A160" s="188">
        <v>1</v>
      </c>
      <c r="B160" s="178" t="s">
        <v>404</v>
      </c>
      <c r="C160" s="29" t="s">
        <v>178</v>
      </c>
      <c r="D160" s="175"/>
      <c r="E160" s="131"/>
      <c r="F160" s="131"/>
      <c r="G160" s="147">
        <f t="shared" si="28"/>
        <v>0</v>
      </c>
      <c r="H160" s="132">
        <f t="shared" si="29"/>
        <v>0</v>
      </c>
      <c r="I160" s="133"/>
      <c r="J160" s="148">
        <f t="shared" si="27"/>
        <v>0</v>
      </c>
    </row>
    <row r="161" spans="1:10" ht="157.5" x14ac:dyDescent="0.4">
      <c r="A161" s="188">
        <v>1</v>
      </c>
      <c r="B161" s="178" t="s">
        <v>405</v>
      </c>
      <c r="C161" s="29" t="s">
        <v>159</v>
      </c>
      <c r="D161" s="175"/>
      <c r="E161" s="131"/>
      <c r="F161" s="175"/>
      <c r="G161" s="147">
        <f t="shared" si="28"/>
        <v>0</v>
      </c>
      <c r="H161" s="132">
        <f t="shared" si="29"/>
        <v>0</v>
      </c>
      <c r="I161" s="133"/>
      <c r="J161" s="148">
        <f t="shared" si="27"/>
        <v>0</v>
      </c>
    </row>
    <row r="162" spans="1:10" ht="78.75" x14ac:dyDescent="0.4">
      <c r="A162" s="188">
        <v>1</v>
      </c>
      <c r="B162" s="178" t="s">
        <v>406</v>
      </c>
      <c r="C162" s="29" t="s">
        <v>159</v>
      </c>
      <c r="D162" s="131"/>
      <c r="E162" s="131"/>
      <c r="F162" s="175"/>
      <c r="G162" s="147">
        <f t="shared" si="28"/>
        <v>0</v>
      </c>
      <c r="H162" s="132">
        <f t="shared" si="29"/>
        <v>0</v>
      </c>
      <c r="I162" s="133"/>
      <c r="J162" s="148">
        <f t="shared" si="27"/>
        <v>0</v>
      </c>
    </row>
    <row r="163" spans="1:10" x14ac:dyDescent="0.4">
      <c r="A163" s="161" t="s">
        <v>0</v>
      </c>
      <c r="B163" s="161"/>
      <c r="C163" s="161"/>
      <c r="D163" s="120">
        <f>SUM(D155:D162)</f>
        <v>76000</v>
      </c>
      <c r="E163" s="120">
        <f>SUM(E155:E162)</f>
        <v>0</v>
      </c>
      <c r="F163" s="120">
        <f>SUM(F155:F162)</f>
        <v>76000</v>
      </c>
      <c r="G163" s="120">
        <f>SUM(G155:G162)</f>
        <v>76000</v>
      </c>
      <c r="H163" s="120">
        <f t="shared" ref="H163" si="30">IFERROR(G163/D163*100-100,0)</f>
        <v>0</v>
      </c>
      <c r="I163" s="120">
        <f>SUM(I155:I162)</f>
        <v>0</v>
      </c>
      <c r="J163" s="120">
        <f t="shared" si="27"/>
        <v>0</v>
      </c>
    </row>
    <row r="164" spans="1:10" x14ac:dyDescent="0.4">
      <c r="A164" s="162"/>
      <c r="B164" s="162"/>
      <c r="C164" s="162"/>
      <c r="D164" s="224"/>
      <c r="E164" s="251"/>
      <c r="F164" s="224"/>
      <c r="G164" s="162"/>
      <c r="H164" s="162"/>
      <c r="I164" s="162"/>
      <c r="J164" s="162"/>
    </row>
    <row r="165" spans="1:10" x14ac:dyDescent="0.4">
      <c r="A165" s="755" t="s">
        <v>259</v>
      </c>
      <c r="B165" s="756"/>
      <c r="C165" s="163"/>
      <c r="D165" s="163"/>
      <c r="E165" s="163"/>
      <c r="F165" s="163"/>
      <c r="G165" s="163"/>
      <c r="H165" s="163"/>
      <c r="I165" s="163"/>
      <c r="J165" s="164"/>
    </row>
    <row r="166" spans="1:10" x14ac:dyDescent="0.4">
      <c r="A166" s="165"/>
      <c r="B166" s="166"/>
      <c r="C166" s="166"/>
      <c r="D166" s="166"/>
      <c r="E166" s="166"/>
      <c r="F166" s="166"/>
      <c r="G166" s="166"/>
      <c r="H166" s="166"/>
      <c r="I166" s="166"/>
      <c r="J166" s="167"/>
    </row>
    <row r="168" spans="1:10" ht="28.5" x14ac:dyDescent="0.4">
      <c r="A168" s="763" t="s">
        <v>77</v>
      </c>
      <c r="B168" s="757"/>
      <c r="C168" s="752" t="s">
        <v>407</v>
      </c>
      <c r="D168" s="753"/>
      <c r="E168" s="753"/>
      <c r="F168" s="753"/>
      <c r="G168" s="753"/>
      <c r="H168" s="753"/>
      <c r="I168" s="753"/>
      <c r="J168" s="754"/>
    </row>
    <row r="169" spans="1:10" ht="28.5" x14ac:dyDescent="0.4">
      <c r="A169" s="757" t="s">
        <v>41</v>
      </c>
      <c r="B169" s="757"/>
      <c r="C169" s="752" t="s">
        <v>27</v>
      </c>
      <c r="D169" s="753"/>
      <c r="E169" s="753"/>
      <c r="F169" s="753"/>
      <c r="G169" s="753"/>
      <c r="H169" s="753"/>
      <c r="I169" s="753"/>
      <c r="J169" s="754"/>
    </row>
    <row r="170" spans="1:10" x14ac:dyDescent="0.4">
      <c r="A170" s="159"/>
      <c r="B170" s="159"/>
      <c r="C170" s="159"/>
      <c r="D170" s="68"/>
      <c r="E170" s="68"/>
      <c r="F170" s="68"/>
      <c r="G170" s="68"/>
      <c r="H170" s="68"/>
      <c r="I170" s="68" t="s">
        <v>208</v>
      </c>
      <c r="J170" s="68"/>
    </row>
    <row r="171" spans="1:10" x14ac:dyDescent="0.4">
      <c r="A171" s="758" t="s">
        <v>285</v>
      </c>
      <c r="B171" s="759"/>
      <c r="C171" s="759"/>
      <c r="D171" s="758" t="s">
        <v>286</v>
      </c>
      <c r="E171" s="759"/>
      <c r="F171" s="759"/>
      <c r="G171" s="759"/>
      <c r="H171" s="760"/>
      <c r="I171" s="764" t="s">
        <v>209</v>
      </c>
      <c r="J171" s="765"/>
    </row>
    <row r="172" spans="1:10" x14ac:dyDescent="0.4">
      <c r="A172" s="758" t="s">
        <v>83</v>
      </c>
      <c r="B172" s="759"/>
      <c r="C172" s="760"/>
      <c r="D172" s="766" t="s">
        <v>297</v>
      </c>
      <c r="E172" s="758" t="s">
        <v>298</v>
      </c>
      <c r="F172" s="759"/>
      <c r="G172" s="760"/>
      <c r="H172" s="768" t="s">
        <v>299</v>
      </c>
      <c r="I172" s="761" t="s">
        <v>300</v>
      </c>
      <c r="J172" s="761" t="s">
        <v>301</v>
      </c>
    </row>
    <row r="173" spans="1:10" ht="78.75" x14ac:dyDescent="0.4">
      <c r="A173" s="160" t="s">
        <v>183</v>
      </c>
      <c r="B173" s="160" t="s">
        <v>182</v>
      </c>
      <c r="C173" s="130" t="s">
        <v>124</v>
      </c>
      <c r="D173" s="767"/>
      <c r="E173" s="160" t="s">
        <v>692</v>
      </c>
      <c r="F173" s="160" t="s">
        <v>693</v>
      </c>
      <c r="G173" s="160" t="s">
        <v>192</v>
      </c>
      <c r="H173" s="768"/>
      <c r="I173" s="762"/>
      <c r="J173" s="762"/>
    </row>
    <row r="174" spans="1:10" ht="210" x14ac:dyDescent="0.4">
      <c r="A174" s="189">
        <v>12</v>
      </c>
      <c r="B174" s="173" t="s">
        <v>408</v>
      </c>
      <c r="C174" s="29" t="s">
        <v>178</v>
      </c>
      <c r="D174" s="175">
        <v>123930</v>
      </c>
      <c r="E174" s="168"/>
      <c r="F174" s="249">
        <v>96360</v>
      </c>
      <c r="G174" s="147">
        <f>E174+F174</f>
        <v>96360</v>
      </c>
      <c r="H174" s="132">
        <f>IFERROR(G174/D174*100-100,0)</f>
        <v>-22.246429435971919</v>
      </c>
      <c r="I174" s="169"/>
      <c r="J174" s="170">
        <f t="shared" ref="J174:J200" si="31">IFERROR(I174/G174*100,)</f>
        <v>0</v>
      </c>
    </row>
    <row r="175" spans="1:10" ht="52.5" x14ac:dyDescent="0.4">
      <c r="A175" s="189">
        <v>6</v>
      </c>
      <c r="B175" s="173" t="s">
        <v>389</v>
      </c>
      <c r="C175" s="29" t="s">
        <v>178</v>
      </c>
      <c r="D175" s="175"/>
      <c r="E175" s="131"/>
      <c r="F175" s="131"/>
      <c r="G175" s="147">
        <f t="shared" ref="G175:G199" si="32">E175+F175</f>
        <v>0</v>
      </c>
      <c r="H175" s="132">
        <f t="shared" ref="H175:H199" si="33">IFERROR(G175/D175*100-100,0)</f>
        <v>0</v>
      </c>
      <c r="I175" s="133"/>
      <c r="J175" s="148">
        <f t="shared" si="31"/>
        <v>0</v>
      </c>
    </row>
    <row r="176" spans="1:10" ht="210" x14ac:dyDescent="0.4">
      <c r="A176" s="188">
        <v>6</v>
      </c>
      <c r="B176" s="173" t="s">
        <v>409</v>
      </c>
      <c r="C176" s="29" t="s">
        <v>161</v>
      </c>
      <c r="D176" s="175">
        <v>2430</v>
      </c>
      <c r="E176" s="131"/>
      <c r="F176" s="131"/>
      <c r="G176" s="147">
        <f t="shared" si="32"/>
        <v>0</v>
      </c>
      <c r="H176" s="132">
        <f t="shared" si="33"/>
        <v>-100</v>
      </c>
      <c r="I176" s="133"/>
      <c r="J176" s="148">
        <f t="shared" si="31"/>
        <v>0</v>
      </c>
    </row>
    <row r="177" spans="1:10" ht="157.5" x14ac:dyDescent="0.4">
      <c r="A177" s="188">
        <v>6</v>
      </c>
      <c r="B177" s="178" t="s">
        <v>410</v>
      </c>
      <c r="C177" s="29" t="s">
        <v>165</v>
      </c>
      <c r="D177" s="175"/>
      <c r="E177" s="131"/>
      <c r="F177" s="131"/>
      <c r="G177" s="147">
        <f t="shared" si="32"/>
        <v>0</v>
      </c>
      <c r="H177" s="132">
        <f t="shared" si="33"/>
        <v>0</v>
      </c>
      <c r="I177" s="133"/>
      <c r="J177" s="148">
        <f t="shared" si="31"/>
        <v>0</v>
      </c>
    </row>
    <row r="178" spans="1:10" ht="105" x14ac:dyDescent="0.4">
      <c r="A178" s="188">
        <v>1</v>
      </c>
      <c r="B178" s="178" t="s">
        <v>411</v>
      </c>
      <c r="C178" s="29" t="s">
        <v>167</v>
      </c>
      <c r="D178" s="175">
        <v>1640</v>
      </c>
      <c r="E178" s="131"/>
      <c r="F178" s="131">
        <v>1640</v>
      </c>
      <c r="G178" s="147">
        <f t="shared" si="32"/>
        <v>1640</v>
      </c>
      <c r="H178" s="132">
        <f t="shared" si="33"/>
        <v>0</v>
      </c>
      <c r="I178" s="133"/>
      <c r="J178" s="148">
        <f t="shared" si="31"/>
        <v>0</v>
      </c>
    </row>
    <row r="179" spans="1:10" ht="157.5" x14ac:dyDescent="0.4">
      <c r="A179" s="188">
        <v>2</v>
      </c>
      <c r="B179" s="178" t="s">
        <v>412</v>
      </c>
      <c r="C179" s="29" t="s">
        <v>165</v>
      </c>
      <c r="D179" s="175"/>
      <c r="E179" s="131"/>
      <c r="F179" s="131"/>
      <c r="G179" s="147">
        <f t="shared" si="32"/>
        <v>0</v>
      </c>
      <c r="H179" s="132">
        <f t="shared" si="33"/>
        <v>0</v>
      </c>
      <c r="I179" s="133"/>
      <c r="J179" s="148">
        <f t="shared" si="31"/>
        <v>0</v>
      </c>
    </row>
    <row r="180" spans="1:10" ht="131.25" x14ac:dyDescent="0.4">
      <c r="A180" s="188">
        <v>6</v>
      </c>
      <c r="B180" s="173" t="s">
        <v>413</v>
      </c>
      <c r="C180" s="29" t="s">
        <v>178</v>
      </c>
      <c r="D180" s="175"/>
      <c r="E180" s="131"/>
      <c r="F180" s="175"/>
      <c r="G180" s="147">
        <f t="shared" si="32"/>
        <v>0</v>
      </c>
      <c r="H180" s="132">
        <f t="shared" si="33"/>
        <v>0</v>
      </c>
      <c r="I180" s="133"/>
      <c r="J180" s="148">
        <f t="shared" si="31"/>
        <v>0</v>
      </c>
    </row>
    <row r="181" spans="1:10" ht="78.75" x14ac:dyDescent="0.4">
      <c r="A181" s="188">
        <v>1</v>
      </c>
      <c r="B181" s="173" t="s">
        <v>414</v>
      </c>
      <c r="C181" s="29" t="s">
        <v>178</v>
      </c>
      <c r="D181" s="175"/>
      <c r="E181" s="131"/>
      <c r="F181" s="175"/>
      <c r="G181" s="147">
        <f t="shared" si="32"/>
        <v>0</v>
      </c>
      <c r="H181" s="132">
        <f t="shared" si="33"/>
        <v>0</v>
      </c>
      <c r="I181" s="133"/>
      <c r="J181" s="148">
        <f t="shared" si="31"/>
        <v>0</v>
      </c>
    </row>
    <row r="182" spans="1:10" ht="52.5" x14ac:dyDescent="0.4">
      <c r="A182" s="188">
        <v>1</v>
      </c>
      <c r="B182" s="173" t="s">
        <v>415</v>
      </c>
      <c r="C182" s="29" t="s">
        <v>165</v>
      </c>
      <c r="D182" s="175"/>
      <c r="E182" s="131"/>
      <c r="F182" s="175">
        <v>5000</v>
      </c>
      <c r="G182" s="147">
        <f t="shared" si="32"/>
        <v>5000</v>
      </c>
      <c r="H182" s="132">
        <f t="shared" si="33"/>
        <v>0</v>
      </c>
      <c r="I182" s="133"/>
      <c r="J182" s="148">
        <f t="shared" si="31"/>
        <v>0</v>
      </c>
    </row>
    <row r="183" spans="1:10" ht="78.75" x14ac:dyDescent="0.4">
      <c r="A183" s="190">
        <v>1</v>
      </c>
      <c r="B183" s="173" t="s">
        <v>416</v>
      </c>
      <c r="C183" s="29" t="s">
        <v>165</v>
      </c>
      <c r="D183" s="175"/>
      <c r="E183" s="131"/>
      <c r="F183" s="175"/>
      <c r="G183" s="147">
        <f t="shared" si="32"/>
        <v>0</v>
      </c>
      <c r="H183" s="132">
        <f t="shared" si="33"/>
        <v>0</v>
      </c>
      <c r="I183" s="133"/>
      <c r="J183" s="148">
        <f t="shared" si="31"/>
        <v>0</v>
      </c>
    </row>
    <row r="184" spans="1:10" ht="78.75" x14ac:dyDescent="0.4">
      <c r="A184" s="190">
        <v>1</v>
      </c>
      <c r="B184" s="173" t="s">
        <v>417</v>
      </c>
      <c r="C184" s="29" t="s">
        <v>161</v>
      </c>
      <c r="D184" s="175"/>
      <c r="E184" s="131"/>
      <c r="F184" s="175"/>
      <c r="G184" s="147">
        <f t="shared" si="32"/>
        <v>0</v>
      </c>
      <c r="H184" s="132">
        <f t="shared" si="33"/>
        <v>0</v>
      </c>
      <c r="I184" s="133"/>
      <c r="J184" s="148">
        <f t="shared" si="31"/>
        <v>0</v>
      </c>
    </row>
    <row r="185" spans="1:10" ht="131.25" x14ac:dyDescent="0.4">
      <c r="A185" s="190">
        <v>1</v>
      </c>
      <c r="B185" s="173" t="s">
        <v>418</v>
      </c>
      <c r="C185" s="29" t="s">
        <v>161</v>
      </c>
      <c r="D185" s="175"/>
      <c r="E185" s="131"/>
      <c r="F185" s="175"/>
      <c r="G185" s="147">
        <f t="shared" si="32"/>
        <v>0</v>
      </c>
      <c r="H185" s="132">
        <f t="shared" si="33"/>
        <v>0</v>
      </c>
      <c r="I185" s="133"/>
      <c r="J185" s="148">
        <f t="shared" si="31"/>
        <v>0</v>
      </c>
    </row>
    <row r="186" spans="1:10" ht="52.5" x14ac:dyDescent="0.4">
      <c r="A186" s="190">
        <v>1</v>
      </c>
      <c r="B186" s="173" t="s">
        <v>419</v>
      </c>
      <c r="C186" s="29" t="s">
        <v>165</v>
      </c>
      <c r="D186" s="175"/>
      <c r="E186" s="131"/>
      <c r="F186" s="175"/>
      <c r="G186" s="147">
        <f t="shared" si="32"/>
        <v>0</v>
      </c>
      <c r="H186" s="132">
        <f t="shared" si="33"/>
        <v>0</v>
      </c>
      <c r="I186" s="133"/>
      <c r="J186" s="148">
        <f t="shared" si="31"/>
        <v>0</v>
      </c>
    </row>
    <row r="187" spans="1:10" ht="52.5" x14ac:dyDescent="0.4">
      <c r="A187" s="190">
        <v>0.6</v>
      </c>
      <c r="B187" s="173" t="s">
        <v>420</v>
      </c>
      <c r="C187" s="29" t="s">
        <v>167</v>
      </c>
      <c r="D187" s="175"/>
      <c r="E187" s="131"/>
      <c r="F187" s="175"/>
      <c r="G187" s="147">
        <f t="shared" si="32"/>
        <v>0</v>
      </c>
      <c r="H187" s="132">
        <f t="shared" si="33"/>
        <v>0</v>
      </c>
      <c r="I187" s="133"/>
      <c r="J187" s="148">
        <f t="shared" si="31"/>
        <v>0</v>
      </c>
    </row>
    <row r="188" spans="1:10" ht="52.5" x14ac:dyDescent="0.4">
      <c r="A188" s="190">
        <v>0.9</v>
      </c>
      <c r="B188" s="173" t="s">
        <v>421</v>
      </c>
      <c r="C188" s="29" t="s">
        <v>167</v>
      </c>
      <c r="D188" s="175"/>
      <c r="E188" s="131"/>
      <c r="F188" s="175"/>
      <c r="G188" s="147">
        <f t="shared" si="32"/>
        <v>0</v>
      </c>
      <c r="H188" s="132">
        <f t="shared" si="33"/>
        <v>0</v>
      </c>
      <c r="I188" s="133"/>
      <c r="J188" s="148">
        <f t="shared" si="31"/>
        <v>0</v>
      </c>
    </row>
    <row r="189" spans="1:10" ht="157.5" x14ac:dyDescent="0.4">
      <c r="A189" s="190">
        <v>0.9</v>
      </c>
      <c r="B189" s="173" t="s">
        <v>422</v>
      </c>
      <c r="C189" s="29" t="s">
        <v>161</v>
      </c>
      <c r="D189" s="175"/>
      <c r="E189" s="131"/>
      <c r="F189" s="175"/>
      <c r="G189" s="147">
        <f t="shared" si="32"/>
        <v>0</v>
      </c>
      <c r="H189" s="132">
        <f t="shared" si="33"/>
        <v>0</v>
      </c>
      <c r="I189" s="133"/>
      <c r="J189" s="148">
        <f t="shared" si="31"/>
        <v>0</v>
      </c>
    </row>
    <row r="190" spans="1:10" ht="183.75" x14ac:dyDescent="0.4">
      <c r="A190" s="190">
        <v>0.6</v>
      </c>
      <c r="B190" s="173" t="s">
        <v>423</v>
      </c>
      <c r="C190" s="29" t="s">
        <v>167</v>
      </c>
      <c r="D190" s="175"/>
      <c r="E190" s="131"/>
      <c r="F190" s="175"/>
      <c r="G190" s="147">
        <f t="shared" si="32"/>
        <v>0</v>
      </c>
      <c r="H190" s="132">
        <f t="shared" si="33"/>
        <v>0</v>
      </c>
      <c r="I190" s="133"/>
      <c r="J190" s="148">
        <f t="shared" si="31"/>
        <v>0</v>
      </c>
    </row>
    <row r="191" spans="1:10" ht="131.25" x14ac:dyDescent="0.4">
      <c r="A191" s="188">
        <v>1</v>
      </c>
      <c r="B191" s="173" t="s">
        <v>424</v>
      </c>
      <c r="C191" s="29" t="s">
        <v>167</v>
      </c>
      <c r="D191" s="175"/>
      <c r="E191" s="131"/>
      <c r="F191" s="175"/>
      <c r="G191" s="147">
        <f t="shared" si="32"/>
        <v>0</v>
      </c>
      <c r="H191" s="132">
        <f t="shared" si="33"/>
        <v>0</v>
      </c>
      <c r="I191" s="133"/>
      <c r="J191" s="148">
        <f t="shared" si="31"/>
        <v>0</v>
      </c>
    </row>
    <row r="192" spans="1:10" ht="131.25" x14ac:dyDescent="0.4">
      <c r="A192" s="190">
        <v>0.9</v>
      </c>
      <c r="B192" s="173" t="s">
        <v>425</v>
      </c>
      <c r="C192" s="29" t="s">
        <v>167</v>
      </c>
      <c r="D192" s="175"/>
      <c r="E192" s="131"/>
      <c r="F192" s="175"/>
      <c r="G192" s="147">
        <f t="shared" si="32"/>
        <v>0</v>
      </c>
      <c r="H192" s="132">
        <f t="shared" si="33"/>
        <v>0</v>
      </c>
      <c r="I192" s="133"/>
      <c r="J192" s="148">
        <f t="shared" si="31"/>
        <v>0</v>
      </c>
    </row>
    <row r="193" spans="1:10" ht="157.5" x14ac:dyDescent="0.4">
      <c r="A193" s="190">
        <v>0.9</v>
      </c>
      <c r="B193" s="173" t="s">
        <v>426</v>
      </c>
      <c r="C193" s="29" t="s">
        <v>165</v>
      </c>
      <c r="D193" s="175"/>
      <c r="E193" s="131"/>
      <c r="F193" s="175"/>
      <c r="G193" s="147">
        <f t="shared" si="32"/>
        <v>0</v>
      </c>
      <c r="H193" s="132">
        <f t="shared" si="33"/>
        <v>0</v>
      </c>
      <c r="I193" s="133"/>
      <c r="J193" s="148">
        <f t="shared" si="31"/>
        <v>0</v>
      </c>
    </row>
    <row r="194" spans="1:10" ht="157.5" x14ac:dyDescent="0.4">
      <c r="A194" s="190">
        <v>0.9</v>
      </c>
      <c r="B194" s="173" t="s">
        <v>427</v>
      </c>
      <c r="C194" s="29" t="s">
        <v>165</v>
      </c>
      <c r="D194" s="175"/>
      <c r="E194" s="131"/>
      <c r="F194" s="175"/>
      <c r="G194" s="147">
        <f t="shared" si="32"/>
        <v>0</v>
      </c>
      <c r="H194" s="132">
        <f t="shared" si="33"/>
        <v>0</v>
      </c>
      <c r="I194" s="133"/>
      <c r="J194" s="148">
        <f t="shared" si="31"/>
        <v>0</v>
      </c>
    </row>
    <row r="195" spans="1:10" ht="157.5" x14ac:dyDescent="0.4">
      <c r="A195" s="190">
        <v>0.9</v>
      </c>
      <c r="B195" s="173" t="s">
        <v>428</v>
      </c>
      <c r="C195" s="29" t="s">
        <v>165</v>
      </c>
      <c r="D195" s="175"/>
      <c r="E195" s="131"/>
      <c r="G195" s="147">
        <f t="shared" si="32"/>
        <v>0</v>
      </c>
      <c r="H195" s="132">
        <f t="shared" si="33"/>
        <v>0</v>
      </c>
      <c r="I195" s="133"/>
      <c r="J195" s="148">
        <f t="shared" si="31"/>
        <v>0</v>
      </c>
    </row>
    <row r="196" spans="1:10" ht="89.25" customHeight="1" x14ac:dyDescent="0.4">
      <c r="A196" s="190">
        <v>1</v>
      </c>
      <c r="B196" s="173" t="s">
        <v>429</v>
      </c>
      <c r="C196" s="29" t="s">
        <v>754</v>
      </c>
      <c r="D196" s="175"/>
      <c r="E196" s="131"/>
      <c r="F196" s="175">
        <v>25000</v>
      </c>
      <c r="G196" s="147">
        <f t="shared" si="32"/>
        <v>25000</v>
      </c>
      <c r="H196" s="132">
        <f t="shared" si="33"/>
        <v>0</v>
      </c>
      <c r="I196" s="133"/>
      <c r="J196" s="148">
        <f t="shared" si="31"/>
        <v>0</v>
      </c>
    </row>
    <row r="197" spans="1:10" ht="105" x14ac:dyDescent="0.4">
      <c r="A197" s="188" t="s">
        <v>755</v>
      </c>
      <c r="B197" s="173" t="s">
        <v>430</v>
      </c>
      <c r="C197" s="29" t="s">
        <v>178</v>
      </c>
      <c r="D197" s="175"/>
      <c r="E197" s="131"/>
      <c r="F197" s="175"/>
      <c r="G197" s="147">
        <f t="shared" si="32"/>
        <v>0</v>
      </c>
      <c r="H197" s="132">
        <f t="shared" si="33"/>
        <v>0</v>
      </c>
      <c r="I197" s="133"/>
      <c r="J197" s="148">
        <f t="shared" si="31"/>
        <v>0</v>
      </c>
    </row>
    <row r="198" spans="1:10" ht="78.75" x14ac:dyDescent="0.4">
      <c r="A198" s="188" t="s">
        <v>756</v>
      </c>
      <c r="B198" s="173" t="s">
        <v>431</v>
      </c>
      <c r="C198" s="29" t="s">
        <v>178</v>
      </c>
      <c r="D198" s="175"/>
      <c r="E198" s="131"/>
      <c r="F198" s="175"/>
      <c r="G198" s="147">
        <f t="shared" si="32"/>
        <v>0</v>
      </c>
      <c r="H198" s="132">
        <f t="shared" si="33"/>
        <v>0</v>
      </c>
      <c r="I198" s="133"/>
      <c r="J198" s="148">
        <f t="shared" si="31"/>
        <v>0</v>
      </c>
    </row>
    <row r="199" spans="1:10" ht="52.5" x14ac:dyDescent="0.4">
      <c r="A199" s="188" t="s">
        <v>756</v>
      </c>
      <c r="B199" s="173" t="s">
        <v>432</v>
      </c>
      <c r="C199" s="29" t="s">
        <v>178</v>
      </c>
      <c r="D199" s="175"/>
      <c r="E199" s="131"/>
      <c r="F199" s="175"/>
      <c r="G199" s="147">
        <f t="shared" si="32"/>
        <v>0</v>
      </c>
      <c r="H199" s="132">
        <f t="shared" si="33"/>
        <v>0</v>
      </c>
      <c r="I199" s="133"/>
      <c r="J199" s="148">
        <f t="shared" si="31"/>
        <v>0</v>
      </c>
    </row>
    <row r="200" spans="1:10" x14ac:dyDescent="0.4">
      <c r="A200" s="161" t="s">
        <v>0</v>
      </c>
      <c r="B200" s="161"/>
      <c r="C200" s="161"/>
      <c r="D200" s="120">
        <f>SUM(D174:D199)</f>
        <v>128000</v>
      </c>
      <c r="E200" s="120">
        <f>SUM(E174:E199)</f>
        <v>0</v>
      </c>
      <c r="F200" s="120">
        <f>SUM(F174:F199)</f>
        <v>128000</v>
      </c>
      <c r="G200" s="120">
        <f>SUM(G174:G199)</f>
        <v>128000</v>
      </c>
      <c r="H200" s="120">
        <f t="shared" ref="H200" si="34">IFERROR(G200/D200*100-100,0)</f>
        <v>0</v>
      </c>
      <c r="I200" s="120">
        <f>SUM(I174:I199)</f>
        <v>0</v>
      </c>
      <c r="J200" s="120">
        <f t="shared" si="31"/>
        <v>0</v>
      </c>
    </row>
    <row r="201" spans="1:10" x14ac:dyDescent="0.4">
      <c r="A201" s="162"/>
      <c r="B201" s="162"/>
      <c r="C201" s="162"/>
      <c r="D201" s="224"/>
      <c r="E201" s="224"/>
      <c r="F201" s="224"/>
      <c r="G201" s="162"/>
      <c r="H201" s="162"/>
      <c r="I201" s="162"/>
      <c r="J201" s="162"/>
    </row>
    <row r="202" spans="1:10" x14ac:dyDescent="0.4">
      <c r="A202" s="755" t="s">
        <v>259</v>
      </c>
      <c r="B202" s="756"/>
      <c r="C202" s="163"/>
      <c r="D202" s="163"/>
      <c r="E202" s="163"/>
      <c r="F202" s="163"/>
      <c r="G202" s="163"/>
      <c r="H202" s="163"/>
      <c r="I202" s="163"/>
      <c r="J202" s="164"/>
    </row>
    <row r="203" spans="1:10" x14ac:dyDescent="0.4">
      <c r="A203" s="165"/>
      <c r="B203" s="166"/>
      <c r="C203" s="166"/>
      <c r="D203" s="166"/>
      <c r="E203" s="166"/>
      <c r="F203" s="166"/>
      <c r="G203" s="166"/>
      <c r="H203" s="166"/>
      <c r="I203" s="166"/>
      <c r="J203" s="167"/>
    </row>
    <row r="205" spans="1:10" ht="28.5" x14ac:dyDescent="0.4">
      <c r="A205" s="763" t="s">
        <v>77</v>
      </c>
      <c r="B205" s="757"/>
      <c r="C205" s="752" t="s">
        <v>433</v>
      </c>
      <c r="D205" s="753"/>
      <c r="E205" s="753"/>
      <c r="F205" s="753"/>
      <c r="G205" s="753"/>
      <c r="H205" s="753"/>
      <c r="I205" s="753"/>
      <c r="J205" s="754"/>
    </row>
    <row r="206" spans="1:10" ht="28.5" x14ac:dyDescent="0.4">
      <c r="A206" s="757" t="s">
        <v>41</v>
      </c>
      <c r="B206" s="757"/>
      <c r="C206" s="752" t="s">
        <v>35</v>
      </c>
      <c r="D206" s="753"/>
      <c r="E206" s="753"/>
      <c r="F206" s="753"/>
      <c r="G206" s="753"/>
      <c r="H206" s="753"/>
      <c r="I206" s="753"/>
      <c r="J206" s="754"/>
    </row>
    <row r="207" spans="1:10" x14ac:dyDescent="0.4">
      <c r="A207" s="159"/>
      <c r="B207" s="159"/>
      <c r="C207" s="159"/>
      <c r="D207" s="68"/>
      <c r="E207" s="68"/>
      <c r="F207" s="68"/>
      <c r="G207" s="68"/>
      <c r="H207" s="68"/>
      <c r="I207" s="68" t="s">
        <v>208</v>
      </c>
      <c r="J207" s="68"/>
    </row>
    <row r="208" spans="1:10" x14ac:dyDescent="0.4">
      <c r="A208" s="758" t="s">
        <v>285</v>
      </c>
      <c r="B208" s="759"/>
      <c r="C208" s="759"/>
      <c r="D208" s="758" t="s">
        <v>286</v>
      </c>
      <c r="E208" s="759"/>
      <c r="F208" s="759"/>
      <c r="G208" s="759"/>
      <c r="H208" s="760"/>
      <c r="I208" s="764" t="s">
        <v>209</v>
      </c>
      <c r="J208" s="765"/>
    </row>
    <row r="209" spans="1:10" x14ac:dyDescent="0.4">
      <c r="A209" s="758" t="s">
        <v>83</v>
      </c>
      <c r="B209" s="759"/>
      <c r="C209" s="760"/>
      <c r="D209" s="766" t="s">
        <v>297</v>
      </c>
      <c r="E209" s="758" t="s">
        <v>298</v>
      </c>
      <c r="F209" s="759"/>
      <c r="G209" s="760"/>
      <c r="H209" s="768" t="s">
        <v>299</v>
      </c>
      <c r="I209" s="761" t="s">
        <v>300</v>
      </c>
      <c r="J209" s="761" t="s">
        <v>301</v>
      </c>
    </row>
    <row r="210" spans="1:10" ht="78.75" x14ac:dyDescent="0.4">
      <c r="A210" s="160" t="s">
        <v>183</v>
      </c>
      <c r="B210" s="160" t="s">
        <v>182</v>
      </c>
      <c r="C210" s="130" t="s">
        <v>124</v>
      </c>
      <c r="D210" s="767"/>
      <c r="E210" s="160" t="s">
        <v>692</v>
      </c>
      <c r="F210" s="160" t="s">
        <v>693</v>
      </c>
      <c r="G210" s="160" t="s">
        <v>192</v>
      </c>
      <c r="H210" s="768"/>
      <c r="I210" s="762"/>
      <c r="J210" s="762"/>
    </row>
    <row r="211" spans="1:10" ht="105" x14ac:dyDescent="0.4">
      <c r="A211" s="188">
        <v>12</v>
      </c>
      <c r="B211" s="209" t="s">
        <v>366</v>
      </c>
      <c r="C211" s="209" t="s">
        <v>178</v>
      </c>
      <c r="D211" s="210">
        <v>38070</v>
      </c>
      <c r="E211" s="168"/>
      <c r="F211" s="249">
        <v>38070</v>
      </c>
      <c r="G211" s="147">
        <f>E211+F211</f>
        <v>38070</v>
      </c>
      <c r="H211" s="132">
        <f>IFERROR(G211/D211*100-100,0)</f>
        <v>0</v>
      </c>
      <c r="I211" s="169"/>
      <c r="J211" s="170">
        <f t="shared" ref="J211:J217" si="35">IFERROR(I211/G211*100,)</f>
        <v>0</v>
      </c>
    </row>
    <row r="212" spans="1:10" ht="52.5" x14ac:dyDescent="0.4">
      <c r="A212" s="188">
        <v>6</v>
      </c>
      <c r="B212" s="178" t="s">
        <v>389</v>
      </c>
      <c r="C212" s="29" t="s">
        <v>178</v>
      </c>
      <c r="D212" s="175"/>
      <c r="E212" s="131"/>
      <c r="F212" s="247"/>
      <c r="G212" s="147">
        <f t="shared" ref="G212:G216" si="36">E212+F212</f>
        <v>0</v>
      </c>
      <c r="H212" s="132">
        <f t="shared" ref="H212:H216" si="37">IFERROR(G212/D212*100-100,0)</f>
        <v>0</v>
      </c>
      <c r="I212" s="133"/>
      <c r="J212" s="148">
        <f t="shared" si="35"/>
        <v>0</v>
      </c>
    </row>
    <row r="213" spans="1:10" ht="52.5" x14ac:dyDescent="0.4">
      <c r="A213" s="188">
        <v>1</v>
      </c>
      <c r="B213" s="173" t="s">
        <v>434</v>
      </c>
      <c r="C213" s="29" t="s">
        <v>178</v>
      </c>
      <c r="D213" s="175">
        <v>2680</v>
      </c>
      <c r="E213" s="131"/>
      <c r="F213" s="247">
        <v>2680</v>
      </c>
      <c r="G213" s="147">
        <f t="shared" si="36"/>
        <v>2680</v>
      </c>
      <c r="H213" s="132">
        <f t="shared" si="37"/>
        <v>0</v>
      </c>
      <c r="I213" s="133"/>
      <c r="J213" s="148">
        <f t="shared" si="35"/>
        <v>0</v>
      </c>
    </row>
    <row r="214" spans="1:10" ht="157.5" x14ac:dyDescent="0.4">
      <c r="A214" s="188">
        <v>1</v>
      </c>
      <c r="B214" s="178" t="s">
        <v>435</v>
      </c>
      <c r="C214" s="29" t="s">
        <v>178</v>
      </c>
      <c r="D214" s="175">
        <v>4050</v>
      </c>
      <c r="E214" s="131"/>
      <c r="F214" s="247">
        <v>4050</v>
      </c>
      <c r="G214" s="147">
        <f t="shared" si="36"/>
        <v>4050</v>
      </c>
      <c r="H214" s="132">
        <f t="shared" si="37"/>
        <v>0</v>
      </c>
      <c r="I214" s="133"/>
      <c r="J214" s="148">
        <f t="shared" si="35"/>
        <v>0</v>
      </c>
    </row>
    <row r="215" spans="1:10" ht="52.5" x14ac:dyDescent="0.4">
      <c r="A215" s="188">
        <v>1</v>
      </c>
      <c r="B215" s="178" t="s">
        <v>436</v>
      </c>
      <c r="C215" s="29" t="s">
        <v>178</v>
      </c>
      <c r="D215" s="175"/>
      <c r="E215" s="131"/>
      <c r="F215" s="168"/>
      <c r="G215" s="147">
        <f t="shared" si="36"/>
        <v>0</v>
      </c>
      <c r="H215" s="132">
        <f t="shared" si="37"/>
        <v>0</v>
      </c>
      <c r="I215" s="133"/>
      <c r="J215" s="148">
        <f t="shared" si="35"/>
        <v>0</v>
      </c>
    </row>
    <row r="216" spans="1:10" ht="78.75" x14ac:dyDescent="0.4">
      <c r="A216" s="188">
        <v>1</v>
      </c>
      <c r="B216" s="178" t="s">
        <v>437</v>
      </c>
      <c r="C216" s="29" t="s">
        <v>178</v>
      </c>
      <c r="D216" s="175"/>
      <c r="E216" s="131"/>
      <c r="F216" s="168"/>
      <c r="G216" s="147">
        <f t="shared" si="36"/>
        <v>0</v>
      </c>
      <c r="H216" s="132">
        <f t="shared" si="37"/>
        <v>0</v>
      </c>
      <c r="I216" s="133"/>
      <c r="J216" s="148">
        <f t="shared" si="35"/>
        <v>0</v>
      </c>
    </row>
    <row r="217" spans="1:10" x14ac:dyDescent="0.4">
      <c r="A217" s="161" t="s">
        <v>0</v>
      </c>
      <c r="B217" s="161"/>
      <c r="C217" s="161"/>
      <c r="D217" s="120">
        <f>SUM(D211:D216)</f>
        <v>44800</v>
      </c>
      <c r="E217" s="120">
        <f>SUM(E211:E216)</f>
        <v>0</v>
      </c>
      <c r="F217" s="120">
        <f>SUM(F211:F216)</f>
        <v>44800</v>
      </c>
      <c r="G217" s="120">
        <f>SUM(G211:G216)</f>
        <v>44800</v>
      </c>
      <c r="H217" s="120">
        <f t="shared" ref="H217" si="38">IFERROR(G217/D217*100-100,0)</f>
        <v>0</v>
      </c>
      <c r="I217" s="120">
        <f>SUM(I211:I216)</f>
        <v>0</v>
      </c>
      <c r="J217" s="120">
        <f t="shared" si="35"/>
        <v>0</v>
      </c>
    </row>
    <row r="218" spans="1:10" x14ac:dyDescent="0.4">
      <c r="A218" s="162"/>
      <c r="B218" s="162"/>
      <c r="C218" s="162"/>
      <c r="D218" s="162"/>
      <c r="E218" s="251"/>
      <c r="F218" s="251"/>
      <c r="G218" s="162"/>
      <c r="H218" s="162"/>
      <c r="I218" s="162"/>
      <c r="J218" s="162"/>
    </row>
    <row r="219" spans="1:10" x14ac:dyDescent="0.4">
      <c r="A219" s="755" t="s">
        <v>259</v>
      </c>
      <c r="B219" s="756"/>
      <c r="C219" s="163"/>
      <c r="D219" s="163"/>
      <c r="E219" s="163"/>
      <c r="F219" s="163"/>
      <c r="G219" s="163"/>
      <c r="H219" s="163"/>
      <c r="I219" s="163"/>
      <c r="J219" s="164"/>
    </row>
    <row r="220" spans="1:10" x14ac:dyDescent="0.4">
      <c r="A220" s="165"/>
      <c r="B220" s="166"/>
      <c r="C220" s="166"/>
      <c r="D220" s="166"/>
      <c r="E220" s="166"/>
      <c r="F220" s="166"/>
      <c r="G220" s="166"/>
      <c r="H220" s="166"/>
      <c r="I220" s="166"/>
      <c r="J220" s="167"/>
    </row>
    <row r="222" spans="1:10" ht="28.5" x14ac:dyDescent="0.4">
      <c r="A222" s="763" t="s">
        <v>77</v>
      </c>
      <c r="B222" s="757"/>
      <c r="C222" s="752" t="s">
        <v>438</v>
      </c>
      <c r="D222" s="753"/>
      <c r="E222" s="753"/>
      <c r="F222" s="753"/>
      <c r="G222" s="753"/>
      <c r="H222" s="753"/>
      <c r="I222" s="753"/>
      <c r="J222" s="754"/>
    </row>
    <row r="223" spans="1:10" ht="28.5" x14ac:dyDescent="0.4">
      <c r="A223" s="757" t="s">
        <v>41</v>
      </c>
      <c r="B223" s="757"/>
      <c r="C223" s="752" t="s">
        <v>140</v>
      </c>
      <c r="D223" s="753"/>
      <c r="E223" s="753"/>
      <c r="F223" s="753"/>
      <c r="G223" s="753"/>
      <c r="H223" s="753"/>
      <c r="I223" s="753"/>
      <c r="J223" s="754"/>
    </row>
    <row r="224" spans="1:10" x14ac:dyDescent="0.4">
      <c r="A224" s="159"/>
      <c r="B224" s="159"/>
      <c r="C224" s="159"/>
      <c r="D224" s="68"/>
      <c r="E224" s="68"/>
      <c r="F224" s="68"/>
      <c r="G224" s="68"/>
      <c r="H224" s="68"/>
      <c r="I224" s="68" t="s">
        <v>208</v>
      </c>
      <c r="J224" s="68"/>
    </row>
    <row r="225" spans="1:10" x14ac:dyDescent="0.4">
      <c r="A225" s="758" t="s">
        <v>285</v>
      </c>
      <c r="B225" s="759"/>
      <c r="C225" s="759"/>
      <c r="D225" s="758" t="s">
        <v>286</v>
      </c>
      <c r="E225" s="759"/>
      <c r="F225" s="759"/>
      <c r="G225" s="759"/>
      <c r="H225" s="760"/>
      <c r="I225" s="764" t="s">
        <v>209</v>
      </c>
      <c r="J225" s="765"/>
    </row>
    <row r="226" spans="1:10" x14ac:dyDescent="0.4">
      <c r="A226" s="758" t="s">
        <v>83</v>
      </c>
      <c r="B226" s="759"/>
      <c r="C226" s="760"/>
      <c r="D226" s="766" t="s">
        <v>297</v>
      </c>
      <c r="E226" s="758" t="s">
        <v>298</v>
      </c>
      <c r="F226" s="759"/>
      <c r="G226" s="760"/>
      <c r="H226" s="768" t="s">
        <v>299</v>
      </c>
      <c r="I226" s="761" t="s">
        <v>300</v>
      </c>
      <c r="J226" s="761" t="s">
        <v>301</v>
      </c>
    </row>
    <row r="227" spans="1:10" ht="78.75" x14ac:dyDescent="0.4">
      <c r="A227" s="160" t="s">
        <v>183</v>
      </c>
      <c r="B227" s="160" t="s">
        <v>182</v>
      </c>
      <c r="C227" s="130" t="s">
        <v>124</v>
      </c>
      <c r="D227" s="767"/>
      <c r="E227" s="160" t="s">
        <v>692</v>
      </c>
      <c r="F227" s="160" t="s">
        <v>693</v>
      </c>
      <c r="G227" s="160" t="s">
        <v>192</v>
      </c>
      <c r="H227" s="768"/>
      <c r="I227" s="762"/>
      <c r="J227" s="762"/>
    </row>
    <row r="228" spans="1:10" ht="131.25" x14ac:dyDescent="0.4">
      <c r="A228" s="188">
        <v>9</v>
      </c>
      <c r="B228" s="173" t="s">
        <v>324</v>
      </c>
      <c r="C228" s="29" t="s">
        <v>178</v>
      </c>
      <c r="D228" s="175">
        <v>22104.080999999998</v>
      </c>
      <c r="E228" s="168"/>
      <c r="F228" s="249">
        <v>38135</v>
      </c>
      <c r="G228" s="147">
        <f>E228+F228</f>
        <v>38135</v>
      </c>
      <c r="H228" s="132">
        <f>IFERROR(G228/D228*100-100,0)</f>
        <v>72.524702565105514</v>
      </c>
      <c r="I228" s="169"/>
      <c r="J228" s="170">
        <f t="shared" ref="J228:J242" si="39">IFERROR(I228/G228*100,)</f>
        <v>0</v>
      </c>
    </row>
    <row r="229" spans="1:10" ht="52.5" x14ac:dyDescent="0.4">
      <c r="A229" s="188">
        <v>4</v>
      </c>
      <c r="B229" s="173" t="s">
        <v>325</v>
      </c>
      <c r="C229" s="29" t="s">
        <v>178</v>
      </c>
      <c r="D229" s="175"/>
      <c r="E229" s="131"/>
      <c r="F229" s="131"/>
      <c r="G229" s="147">
        <f t="shared" ref="G229:G241" si="40">E229+F229</f>
        <v>0</v>
      </c>
      <c r="H229" s="132">
        <f t="shared" ref="H229:H241" si="41">IFERROR(G229/D229*100-100,0)</f>
        <v>0</v>
      </c>
      <c r="I229" s="133"/>
      <c r="J229" s="148">
        <f t="shared" si="39"/>
        <v>0</v>
      </c>
    </row>
    <row r="230" spans="1:10" ht="105" x14ac:dyDescent="0.4">
      <c r="A230" s="188">
        <v>6</v>
      </c>
      <c r="B230" s="173" t="s">
        <v>439</v>
      </c>
      <c r="C230" s="29" t="s">
        <v>178</v>
      </c>
      <c r="D230" s="175"/>
      <c r="E230" s="131"/>
      <c r="F230" s="131"/>
      <c r="G230" s="147">
        <f t="shared" si="40"/>
        <v>0</v>
      </c>
      <c r="H230" s="132">
        <f t="shared" si="41"/>
        <v>0</v>
      </c>
      <c r="I230" s="133"/>
      <c r="J230" s="148">
        <f t="shared" si="39"/>
        <v>0</v>
      </c>
    </row>
    <row r="231" spans="1:10" ht="157.5" x14ac:dyDescent="0.4">
      <c r="A231" s="188">
        <v>2</v>
      </c>
      <c r="B231" s="178" t="s">
        <v>440</v>
      </c>
      <c r="C231" s="29" t="s">
        <v>178</v>
      </c>
      <c r="D231" s="175"/>
      <c r="E231" s="131"/>
      <c r="F231" s="131"/>
      <c r="G231" s="147">
        <f t="shared" si="40"/>
        <v>0</v>
      </c>
      <c r="H231" s="132">
        <f t="shared" si="41"/>
        <v>0</v>
      </c>
      <c r="I231" s="133"/>
      <c r="J231" s="148">
        <f t="shared" si="39"/>
        <v>0</v>
      </c>
    </row>
    <row r="232" spans="1:10" ht="52.5" x14ac:dyDescent="0.4">
      <c r="A232" s="188">
        <v>1</v>
      </c>
      <c r="B232" s="178" t="s">
        <v>441</v>
      </c>
      <c r="C232" s="29" t="s">
        <v>178</v>
      </c>
      <c r="D232" s="175">
        <v>1270</v>
      </c>
      <c r="E232" s="131"/>
      <c r="F232" s="131"/>
      <c r="G232" s="147">
        <f t="shared" si="40"/>
        <v>0</v>
      </c>
      <c r="H232" s="132">
        <f t="shared" si="41"/>
        <v>-100</v>
      </c>
      <c r="I232" s="133"/>
      <c r="J232" s="148">
        <f t="shared" si="39"/>
        <v>0</v>
      </c>
    </row>
    <row r="233" spans="1:10" ht="52.5" x14ac:dyDescent="0.4">
      <c r="A233" s="188">
        <v>1</v>
      </c>
      <c r="B233" s="178" t="s">
        <v>329</v>
      </c>
      <c r="C233" s="29" t="s">
        <v>178</v>
      </c>
      <c r="D233" s="175"/>
      <c r="E233" s="131"/>
      <c r="F233" s="131"/>
      <c r="G233" s="147">
        <f t="shared" si="40"/>
        <v>0</v>
      </c>
      <c r="H233" s="132">
        <f t="shared" si="41"/>
        <v>0</v>
      </c>
      <c r="I233" s="133"/>
      <c r="J233" s="148">
        <f t="shared" si="39"/>
        <v>0</v>
      </c>
    </row>
    <row r="234" spans="1:10" ht="157.5" x14ac:dyDescent="0.4">
      <c r="A234" s="188">
        <v>1</v>
      </c>
      <c r="B234" s="178" t="s">
        <v>330</v>
      </c>
      <c r="C234" s="29" t="s">
        <v>178</v>
      </c>
      <c r="D234" s="175">
        <v>4625.9189999999999</v>
      </c>
      <c r="E234" s="131"/>
      <c r="F234" s="175"/>
      <c r="G234" s="147">
        <f t="shared" si="40"/>
        <v>0</v>
      </c>
      <c r="H234" s="132">
        <f t="shared" si="41"/>
        <v>-100</v>
      </c>
      <c r="I234" s="133"/>
      <c r="J234" s="148">
        <f t="shared" si="39"/>
        <v>0</v>
      </c>
    </row>
    <row r="235" spans="1:10" ht="52.5" x14ac:dyDescent="0.4">
      <c r="A235" s="190">
        <v>1</v>
      </c>
      <c r="B235" s="209" t="s">
        <v>694</v>
      </c>
      <c r="C235" s="29" t="s">
        <v>178</v>
      </c>
      <c r="D235" s="175"/>
      <c r="E235" s="131"/>
      <c r="F235" s="175">
        <v>5000</v>
      </c>
      <c r="G235" s="147">
        <f t="shared" si="40"/>
        <v>5000</v>
      </c>
      <c r="H235" s="132">
        <f t="shared" si="41"/>
        <v>0</v>
      </c>
      <c r="I235" s="133"/>
      <c r="J235" s="148">
        <f t="shared" si="39"/>
        <v>0</v>
      </c>
    </row>
    <row r="236" spans="1:10" ht="52.5" x14ac:dyDescent="0.4">
      <c r="A236" s="188">
        <v>1</v>
      </c>
      <c r="B236" s="209" t="s">
        <v>442</v>
      </c>
      <c r="C236" s="209" t="s">
        <v>145</v>
      </c>
      <c r="D236" s="210"/>
      <c r="E236" s="168"/>
      <c r="F236" s="210"/>
      <c r="G236" s="147">
        <f t="shared" si="40"/>
        <v>0</v>
      </c>
      <c r="H236" s="132">
        <f t="shared" si="41"/>
        <v>0</v>
      </c>
      <c r="I236" s="133"/>
      <c r="J236" s="148">
        <f t="shared" si="39"/>
        <v>0</v>
      </c>
    </row>
    <row r="237" spans="1:10" ht="78.75" x14ac:dyDescent="0.4">
      <c r="A237" s="188">
        <v>1</v>
      </c>
      <c r="B237" s="178" t="s">
        <v>443</v>
      </c>
      <c r="C237" s="29" t="s">
        <v>178</v>
      </c>
      <c r="D237" s="175"/>
      <c r="E237" s="131"/>
      <c r="F237" s="175">
        <v>5000</v>
      </c>
      <c r="G237" s="147">
        <f t="shared" si="40"/>
        <v>5000</v>
      </c>
      <c r="H237" s="132">
        <f t="shared" si="41"/>
        <v>0</v>
      </c>
      <c r="I237" s="133"/>
      <c r="J237" s="148">
        <f t="shared" si="39"/>
        <v>0</v>
      </c>
    </row>
    <row r="238" spans="1:10" ht="52.5" x14ac:dyDescent="0.4">
      <c r="A238" s="188">
        <v>1</v>
      </c>
      <c r="B238" s="178" t="s">
        <v>444</v>
      </c>
      <c r="C238" s="29" t="s">
        <v>178</v>
      </c>
      <c r="D238" s="175"/>
      <c r="E238" s="131"/>
      <c r="F238" s="175">
        <v>5000</v>
      </c>
      <c r="G238" s="147">
        <f t="shared" si="40"/>
        <v>5000</v>
      </c>
      <c r="H238" s="132">
        <f t="shared" si="41"/>
        <v>0</v>
      </c>
      <c r="I238" s="133"/>
      <c r="J238" s="148">
        <f t="shared" si="39"/>
        <v>0</v>
      </c>
    </row>
    <row r="239" spans="1:10" ht="52.5" x14ac:dyDescent="0.4">
      <c r="A239" s="188">
        <v>1</v>
      </c>
      <c r="B239" s="178" t="s">
        <v>445</v>
      </c>
      <c r="C239" s="29" t="s">
        <v>178</v>
      </c>
      <c r="D239" s="175"/>
      <c r="E239" s="131"/>
      <c r="F239" s="175">
        <v>5000</v>
      </c>
      <c r="G239" s="147">
        <f t="shared" si="40"/>
        <v>5000</v>
      </c>
      <c r="H239" s="132">
        <f t="shared" si="41"/>
        <v>0</v>
      </c>
      <c r="I239" s="133"/>
      <c r="J239" s="148">
        <f t="shared" si="39"/>
        <v>0</v>
      </c>
    </row>
    <row r="240" spans="1:10" ht="52.5" x14ac:dyDescent="0.4">
      <c r="A240" s="188">
        <v>1</v>
      </c>
      <c r="B240" s="178" t="s">
        <v>446</v>
      </c>
      <c r="C240" s="29" t="s">
        <v>178</v>
      </c>
      <c r="D240" s="175"/>
      <c r="E240" s="131"/>
      <c r="F240" s="175">
        <v>5000</v>
      </c>
      <c r="G240" s="147">
        <f t="shared" si="40"/>
        <v>5000</v>
      </c>
      <c r="H240" s="132">
        <f t="shared" si="41"/>
        <v>0</v>
      </c>
      <c r="I240" s="133"/>
      <c r="J240" s="148">
        <f t="shared" si="39"/>
        <v>0</v>
      </c>
    </row>
    <row r="241" spans="1:11" ht="52.5" x14ac:dyDescent="0.4">
      <c r="A241" s="188">
        <v>1</v>
      </c>
      <c r="B241" s="178" t="s">
        <v>447</v>
      </c>
      <c r="C241" s="29" t="s">
        <v>178</v>
      </c>
      <c r="D241" s="131"/>
      <c r="E241" s="131"/>
      <c r="F241" s="175">
        <v>2000</v>
      </c>
      <c r="G241" s="147">
        <f t="shared" si="40"/>
        <v>2000</v>
      </c>
      <c r="H241" s="132">
        <f t="shared" si="41"/>
        <v>0</v>
      </c>
      <c r="I241" s="133"/>
      <c r="J241" s="148">
        <f t="shared" si="39"/>
        <v>0</v>
      </c>
    </row>
    <row r="242" spans="1:11" x14ac:dyDescent="0.4">
      <c r="A242" s="161" t="s">
        <v>0</v>
      </c>
      <c r="B242" s="161"/>
      <c r="C242" s="161"/>
      <c r="D242" s="120">
        <f>SUM(D228:D241)</f>
        <v>28000</v>
      </c>
      <c r="E242" s="120">
        <f>SUM(E228:E241)</f>
        <v>0</v>
      </c>
      <c r="F242" s="120">
        <f>SUM(F228:F241)</f>
        <v>65135</v>
      </c>
      <c r="G242" s="120">
        <f>SUM(G228:G241)</f>
        <v>65135</v>
      </c>
      <c r="H242" s="120">
        <f t="shared" ref="H242" si="42">IFERROR(G242/D242*100-100,0)</f>
        <v>132.625</v>
      </c>
      <c r="I242" s="120">
        <f>SUM(I228:I241)</f>
        <v>0</v>
      </c>
      <c r="J242" s="120">
        <f t="shared" si="39"/>
        <v>0</v>
      </c>
      <c r="K242" s="205"/>
    </row>
    <row r="243" spans="1:11" x14ac:dyDescent="0.4">
      <c r="A243" s="162"/>
      <c r="B243" s="162"/>
      <c r="C243" s="162"/>
      <c r="D243" s="162"/>
      <c r="E243" s="251"/>
      <c r="F243" s="251"/>
      <c r="G243" s="162"/>
      <c r="H243" s="162"/>
      <c r="I243" s="162"/>
      <c r="J243" s="162"/>
    </row>
    <row r="244" spans="1:11" x14ac:dyDescent="0.4">
      <c r="A244" s="755" t="s">
        <v>259</v>
      </c>
      <c r="B244" s="756"/>
      <c r="C244" s="163"/>
      <c r="D244" s="163"/>
      <c r="E244" s="163"/>
      <c r="F244" s="163"/>
      <c r="G244" s="163"/>
      <c r="H244" s="163"/>
      <c r="I244" s="163"/>
      <c r="J244" s="164"/>
    </row>
    <row r="245" spans="1:11" x14ac:dyDescent="0.4">
      <c r="A245" s="165"/>
      <c r="B245" s="166"/>
      <c r="C245" s="166"/>
      <c r="D245" s="166"/>
      <c r="E245" s="166"/>
      <c r="F245" s="166"/>
      <c r="G245" s="166"/>
      <c r="H245" s="166"/>
      <c r="I245" s="166"/>
      <c r="J245" s="167"/>
    </row>
    <row r="247" spans="1:11" ht="28.5" x14ac:dyDescent="0.4">
      <c r="A247" s="763" t="s">
        <v>77</v>
      </c>
      <c r="B247" s="757"/>
      <c r="C247" s="752" t="s">
        <v>448</v>
      </c>
      <c r="D247" s="753"/>
      <c r="E247" s="753"/>
      <c r="F247" s="753"/>
      <c r="G247" s="753"/>
      <c r="H247" s="753"/>
      <c r="I247" s="753"/>
      <c r="J247" s="754"/>
    </row>
    <row r="248" spans="1:11" ht="28.5" x14ac:dyDescent="0.4">
      <c r="A248" s="757" t="s">
        <v>41</v>
      </c>
      <c r="B248" s="757"/>
      <c r="C248" s="752" t="s">
        <v>181</v>
      </c>
      <c r="D248" s="753"/>
      <c r="E248" s="753"/>
      <c r="F248" s="753"/>
      <c r="G248" s="753"/>
      <c r="H248" s="753"/>
      <c r="I248" s="753"/>
      <c r="J248" s="754"/>
    </row>
    <row r="249" spans="1:11" x14ac:dyDescent="0.4">
      <c r="A249" s="159"/>
      <c r="B249" s="159"/>
      <c r="C249" s="159"/>
      <c r="D249" s="68"/>
      <c r="E249" s="68"/>
      <c r="F249" s="68"/>
      <c r="G249" s="68"/>
      <c r="H249" s="68"/>
      <c r="I249" s="68" t="s">
        <v>208</v>
      </c>
      <c r="J249" s="68"/>
    </row>
    <row r="250" spans="1:11" x14ac:dyDescent="0.4">
      <c r="A250" s="758" t="s">
        <v>285</v>
      </c>
      <c r="B250" s="759"/>
      <c r="C250" s="759"/>
      <c r="D250" s="758" t="s">
        <v>286</v>
      </c>
      <c r="E250" s="759"/>
      <c r="F250" s="759"/>
      <c r="G250" s="759"/>
      <c r="H250" s="760"/>
      <c r="I250" s="764" t="s">
        <v>209</v>
      </c>
      <c r="J250" s="765"/>
    </row>
    <row r="251" spans="1:11" x14ac:dyDescent="0.4">
      <c r="A251" s="758" t="s">
        <v>83</v>
      </c>
      <c r="B251" s="759"/>
      <c r="C251" s="760"/>
      <c r="D251" s="766" t="s">
        <v>297</v>
      </c>
      <c r="E251" s="758" t="s">
        <v>298</v>
      </c>
      <c r="F251" s="759"/>
      <c r="G251" s="760"/>
      <c r="H251" s="768" t="s">
        <v>299</v>
      </c>
      <c r="I251" s="761" t="s">
        <v>300</v>
      </c>
      <c r="J251" s="761" t="s">
        <v>301</v>
      </c>
    </row>
    <row r="252" spans="1:11" ht="78.75" x14ac:dyDescent="0.4">
      <c r="A252" s="160" t="s">
        <v>183</v>
      </c>
      <c r="B252" s="160" t="s">
        <v>182</v>
      </c>
      <c r="C252" s="130" t="s">
        <v>124</v>
      </c>
      <c r="D252" s="767"/>
      <c r="E252" s="160" t="s">
        <v>692</v>
      </c>
      <c r="F252" s="160" t="s">
        <v>693</v>
      </c>
      <c r="G252" s="160" t="s">
        <v>192</v>
      </c>
      <c r="H252" s="768"/>
      <c r="I252" s="762"/>
      <c r="J252" s="762"/>
    </row>
    <row r="253" spans="1:11" ht="105" x14ac:dyDescent="0.4">
      <c r="A253" s="188">
        <v>9</v>
      </c>
      <c r="B253" s="178" t="s">
        <v>449</v>
      </c>
      <c r="C253" s="29" t="s">
        <v>178</v>
      </c>
      <c r="D253" s="175">
        <v>50639.067000000003</v>
      </c>
      <c r="E253" s="168"/>
      <c r="F253" s="249">
        <v>59582.68</v>
      </c>
      <c r="G253" s="147">
        <f>E253+F253</f>
        <v>59582.68</v>
      </c>
      <c r="H253" s="132">
        <f>IFERROR(G253/D253*100-100,0)</f>
        <v>17.661488510441941</v>
      </c>
      <c r="I253" s="169"/>
      <c r="J253" s="170">
        <f t="shared" ref="J253:J274" si="43">IFERROR(I253/G253*100,)</f>
        <v>0</v>
      </c>
    </row>
    <row r="254" spans="1:11" ht="52.5" x14ac:dyDescent="0.4">
      <c r="A254" s="188">
        <v>4</v>
      </c>
      <c r="B254" s="178" t="s">
        <v>325</v>
      </c>
      <c r="C254" s="29" t="s">
        <v>178</v>
      </c>
      <c r="D254" s="175"/>
      <c r="E254" s="131"/>
      <c r="F254" s="247"/>
      <c r="G254" s="147">
        <f t="shared" ref="G254:G274" si="44">E254+F254</f>
        <v>0</v>
      </c>
      <c r="H254" s="132">
        <f t="shared" ref="H254:H274" si="45">IFERROR(G254/D254*100-100,0)</f>
        <v>0</v>
      </c>
      <c r="I254" s="133"/>
      <c r="J254" s="148">
        <f t="shared" si="43"/>
        <v>0</v>
      </c>
    </row>
    <row r="255" spans="1:11" ht="236.25" x14ac:dyDescent="0.4">
      <c r="A255" s="188">
        <v>1</v>
      </c>
      <c r="B255" s="178" t="s">
        <v>450</v>
      </c>
      <c r="C255" s="29" t="s">
        <v>178</v>
      </c>
      <c r="D255" s="175">
        <v>1619.973</v>
      </c>
      <c r="E255" s="131"/>
      <c r="F255" s="247"/>
      <c r="G255" s="147">
        <f t="shared" si="44"/>
        <v>0</v>
      </c>
      <c r="H255" s="132">
        <f t="shared" si="45"/>
        <v>-100</v>
      </c>
      <c r="I255" s="133"/>
      <c r="J255" s="148">
        <f t="shared" si="43"/>
        <v>0</v>
      </c>
    </row>
    <row r="256" spans="1:11" ht="183.75" x14ac:dyDescent="0.4">
      <c r="A256" s="188">
        <v>6</v>
      </c>
      <c r="B256" s="178" t="s">
        <v>451</v>
      </c>
      <c r="C256" s="29" t="s">
        <v>178</v>
      </c>
      <c r="D256" s="175">
        <v>1620</v>
      </c>
      <c r="E256" s="131"/>
      <c r="F256" s="247"/>
      <c r="G256" s="147">
        <f t="shared" si="44"/>
        <v>0</v>
      </c>
      <c r="H256" s="132">
        <f t="shared" si="45"/>
        <v>-100</v>
      </c>
      <c r="I256" s="133"/>
      <c r="J256" s="148">
        <f t="shared" si="43"/>
        <v>0</v>
      </c>
    </row>
    <row r="257" spans="1:10" ht="78.75" x14ac:dyDescent="0.4">
      <c r="A257" s="188">
        <v>1</v>
      </c>
      <c r="B257" s="178" t="s">
        <v>452</v>
      </c>
      <c r="C257" s="29" t="s">
        <v>178</v>
      </c>
      <c r="D257" s="175">
        <v>3240</v>
      </c>
      <c r="E257" s="131"/>
      <c r="F257" s="247"/>
      <c r="G257" s="147">
        <f t="shared" si="44"/>
        <v>0</v>
      </c>
      <c r="H257" s="132">
        <f t="shared" si="45"/>
        <v>-100</v>
      </c>
      <c r="I257" s="133"/>
      <c r="J257" s="148">
        <f t="shared" si="43"/>
        <v>0</v>
      </c>
    </row>
    <row r="258" spans="1:10" ht="131.25" x14ac:dyDescent="0.4">
      <c r="A258" s="188">
        <v>41</v>
      </c>
      <c r="B258" s="178" t="s">
        <v>453</v>
      </c>
      <c r="C258" s="29" t="s">
        <v>178</v>
      </c>
      <c r="D258" s="175"/>
      <c r="E258" s="131"/>
      <c r="F258" s="247"/>
      <c r="G258" s="147">
        <f t="shared" si="44"/>
        <v>0</v>
      </c>
      <c r="H258" s="132">
        <f t="shared" si="45"/>
        <v>0</v>
      </c>
      <c r="I258" s="133"/>
      <c r="J258" s="148">
        <f t="shared" si="43"/>
        <v>0</v>
      </c>
    </row>
    <row r="259" spans="1:10" ht="131.25" x14ac:dyDescent="0.4">
      <c r="A259" s="188">
        <v>1</v>
      </c>
      <c r="B259" s="29" t="s">
        <v>454</v>
      </c>
      <c r="C259" s="29" t="s">
        <v>178</v>
      </c>
      <c r="D259" s="175"/>
      <c r="E259" s="131"/>
      <c r="F259" s="248"/>
      <c r="G259" s="147">
        <f t="shared" si="44"/>
        <v>0</v>
      </c>
      <c r="H259" s="132">
        <f t="shared" si="45"/>
        <v>0</v>
      </c>
      <c r="I259" s="133"/>
      <c r="J259" s="148">
        <f t="shared" si="43"/>
        <v>0</v>
      </c>
    </row>
    <row r="260" spans="1:10" ht="105" x14ac:dyDescent="0.4">
      <c r="A260" s="188">
        <v>1</v>
      </c>
      <c r="B260" s="178" t="s">
        <v>455</v>
      </c>
      <c r="C260" s="29" t="s">
        <v>178</v>
      </c>
      <c r="D260" s="175">
        <v>837.72</v>
      </c>
      <c r="E260" s="131"/>
      <c r="F260" s="248"/>
      <c r="G260" s="147">
        <f t="shared" si="44"/>
        <v>0</v>
      </c>
      <c r="H260" s="132">
        <f t="shared" si="45"/>
        <v>-100</v>
      </c>
      <c r="I260" s="133"/>
      <c r="J260" s="148">
        <f t="shared" si="43"/>
        <v>0</v>
      </c>
    </row>
    <row r="261" spans="1:10" ht="157.5" x14ac:dyDescent="0.4">
      <c r="A261" s="188">
        <v>1</v>
      </c>
      <c r="B261" s="178" t="s">
        <v>330</v>
      </c>
      <c r="C261" s="29" t="s">
        <v>178</v>
      </c>
      <c r="D261" s="175">
        <v>4625.9189999999999</v>
      </c>
      <c r="E261" s="131"/>
      <c r="F261" s="248"/>
      <c r="G261" s="147">
        <f t="shared" si="44"/>
        <v>0</v>
      </c>
      <c r="H261" s="132">
        <f t="shared" si="45"/>
        <v>-100</v>
      </c>
      <c r="I261" s="133"/>
      <c r="J261" s="148">
        <f t="shared" si="43"/>
        <v>0</v>
      </c>
    </row>
    <row r="262" spans="1:10" ht="78.75" x14ac:dyDescent="0.4">
      <c r="A262" s="278">
        <v>1</v>
      </c>
      <c r="B262" s="282" t="s">
        <v>700</v>
      </c>
      <c r="C262" s="29" t="s">
        <v>178</v>
      </c>
      <c r="D262" s="279"/>
      <c r="E262" s="280"/>
      <c r="F262" s="281"/>
      <c r="G262" s="147"/>
      <c r="H262" s="132"/>
      <c r="I262" s="133"/>
      <c r="J262" s="148"/>
    </row>
    <row r="263" spans="1:10" ht="52.5" x14ac:dyDescent="0.4">
      <c r="A263" s="188">
        <v>1</v>
      </c>
      <c r="B263" s="209" t="s">
        <v>456</v>
      </c>
      <c r="C263" s="29" t="s">
        <v>178</v>
      </c>
      <c r="D263" s="175"/>
      <c r="E263" s="131"/>
      <c r="F263" s="248"/>
      <c r="G263" s="147">
        <f t="shared" si="44"/>
        <v>0</v>
      </c>
      <c r="H263" s="132">
        <f t="shared" si="45"/>
        <v>0</v>
      </c>
      <c r="I263" s="133"/>
      <c r="J263" s="148">
        <f t="shared" si="43"/>
        <v>0</v>
      </c>
    </row>
    <row r="264" spans="1:10" x14ac:dyDescent="0.4">
      <c r="A264" s="188">
        <v>1</v>
      </c>
      <c r="B264" s="209" t="s">
        <v>457</v>
      </c>
      <c r="C264" s="29" t="s">
        <v>178</v>
      </c>
      <c r="D264" s="175"/>
      <c r="E264" s="131"/>
      <c r="F264" s="248"/>
      <c r="G264" s="147">
        <f t="shared" si="44"/>
        <v>0</v>
      </c>
      <c r="H264" s="132">
        <f t="shared" si="45"/>
        <v>0</v>
      </c>
      <c r="I264" s="133"/>
      <c r="J264" s="148">
        <f t="shared" si="43"/>
        <v>0</v>
      </c>
    </row>
    <row r="265" spans="1:10" x14ac:dyDescent="0.4">
      <c r="A265" s="188">
        <v>1</v>
      </c>
      <c r="B265" s="209" t="s">
        <v>458</v>
      </c>
      <c r="C265" s="29" t="s">
        <v>178</v>
      </c>
      <c r="D265" s="175"/>
      <c r="E265" s="131"/>
      <c r="F265" s="248"/>
      <c r="G265" s="147">
        <f t="shared" si="44"/>
        <v>0</v>
      </c>
      <c r="H265" s="132">
        <f t="shared" si="45"/>
        <v>0</v>
      </c>
      <c r="I265" s="133"/>
      <c r="J265" s="148">
        <f t="shared" si="43"/>
        <v>0</v>
      </c>
    </row>
    <row r="266" spans="1:10" ht="78.75" x14ac:dyDescent="0.4">
      <c r="A266" s="188">
        <v>1</v>
      </c>
      <c r="B266" s="209" t="s">
        <v>459</v>
      </c>
      <c r="C266" s="29" t="s">
        <v>178</v>
      </c>
      <c r="D266" s="175"/>
      <c r="E266" s="131"/>
      <c r="F266" s="248"/>
      <c r="G266" s="147">
        <f t="shared" si="44"/>
        <v>0</v>
      </c>
      <c r="H266" s="132">
        <f t="shared" si="45"/>
        <v>0</v>
      </c>
      <c r="I266" s="133"/>
      <c r="J266" s="148">
        <f t="shared" si="43"/>
        <v>0</v>
      </c>
    </row>
    <row r="267" spans="1:10" ht="78.75" x14ac:dyDescent="0.4">
      <c r="A267" s="188">
        <v>1</v>
      </c>
      <c r="B267" s="209" t="s">
        <v>460</v>
      </c>
      <c r="C267" s="29" t="s">
        <v>153</v>
      </c>
      <c r="D267" s="175"/>
      <c r="E267" s="131"/>
      <c r="F267" s="248"/>
      <c r="G267" s="147">
        <f t="shared" si="44"/>
        <v>0</v>
      </c>
      <c r="H267" s="132">
        <f t="shared" si="45"/>
        <v>0</v>
      </c>
      <c r="I267" s="133"/>
      <c r="J267" s="148">
        <f t="shared" si="43"/>
        <v>0</v>
      </c>
    </row>
    <row r="268" spans="1:10" s="242" customFormat="1" ht="78.75" x14ac:dyDescent="0.4">
      <c r="A268" s="241">
        <v>1</v>
      </c>
      <c r="B268" s="209" t="s">
        <v>461</v>
      </c>
      <c r="C268" s="29" t="s">
        <v>178</v>
      </c>
      <c r="D268" s="210"/>
      <c r="E268" s="168"/>
      <c r="F268" s="250"/>
      <c r="G268" s="147">
        <f t="shared" si="44"/>
        <v>0</v>
      </c>
      <c r="H268" s="132">
        <f t="shared" si="45"/>
        <v>0</v>
      </c>
      <c r="I268" s="169"/>
      <c r="J268" s="148">
        <f t="shared" si="43"/>
        <v>0</v>
      </c>
    </row>
    <row r="269" spans="1:10" s="242" customFormat="1" ht="52.5" x14ac:dyDescent="0.4">
      <c r="A269" s="241">
        <v>10</v>
      </c>
      <c r="B269" s="209" t="s">
        <v>462</v>
      </c>
      <c r="C269" s="29" t="s">
        <v>135</v>
      </c>
      <c r="D269" s="210"/>
      <c r="E269" s="168"/>
      <c r="F269" s="250"/>
      <c r="G269" s="147">
        <f t="shared" si="44"/>
        <v>0</v>
      </c>
      <c r="H269" s="132">
        <f t="shared" si="45"/>
        <v>0</v>
      </c>
      <c r="I269" s="169"/>
      <c r="J269" s="148">
        <f t="shared" si="43"/>
        <v>0</v>
      </c>
    </row>
    <row r="270" spans="1:10" ht="105" x14ac:dyDescent="0.4">
      <c r="A270" s="188">
        <v>1</v>
      </c>
      <c r="B270" s="209" t="s">
        <v>463</v>
      </c>
      <c r="C270" s="29" t="s">
        <v>138</v>
      </c>
      <c r="D270" s="175"/>
      <c r="E270" s="131"/>
      <c r="F270" s="248"/>
      <c r="G270" s="147">
        <f t="shared" si="44"/>
        <v>0</v>
      </c>
      <c r="H270" s="132">
        <f t="shared" si="45"/>
        <v>0</v>
      </c>
      <c r="I270" s="133"/>
      <c r="J270" s="148">
        <f t="shared" si="43"/>
        <v>0</v>
      </c>
    </row>
    <row r="271" spans="1:10" ht="52.5" x14ac:dyDescent="0.4">
      <c r="A271" s="188">
        <v>1</v>
      </c>
      <c r="B271" s="209" t="s">
        <v>464</v>
      </c>
      <c r="C271" s="29" t="s">
        <v>178</v>
      </c>
      <c r="D271" s="175"/>
      <c r="E271" s="131"/>
      <c r="F271" s="248"/>
      <c r="G271" s="147">
        <f t="shared" si="44"/>
        <v>0</v>
      </c>
      <c r="H271" s="132">
        <f t="shared" si="45"/>
        <v>0</v>
      </c>
      <c r="I271" s="133"/>
      <c r="J271" s="148">
        <f t="shared" si="43"/>
        <v>0</v>
      </c>
    </row>
    <row r="272" spans="1:10" ht="52.5" x14ac:dyDescent="0.4">
      <c r="A272" s="188">
        <v>1</v>
      </c>
      <c r="B272" s="209" t="s">
        <v>465</v>
      </c>
      <c r="C272" s="29" t="s">
        <v>178</v>
      </c>
      <c r="D272" s="175"/>
      <c r="E272" s="131"/>
      <c r="F272" s="248"/>
      <c r="G272" s="147">
        <f t="shared" si="44"/>
        <v>0</v>
      </c>
      <c r="H272" s="132">
        <f t="shared" si="45"/>
        <v>0</v>
      </c>
      <c r="I272" s="133"/>
      <c r="J272" s="148">
        <f t="shared" si="43"/>
        <v>0</v>
      </c>
    </row>
    <row r="273" spans="1:11" ht="52.5" x14ac:dyDescent="0.4">
      <c r="A273" s="188">
        <v>1</v>
      </c>
      <c r="B273" s="209" t="s">
        <v>466</v>
      </c>
      <c r="C273" s="29" t="s">
        <v>178</v>
      </c>
      <c r="D273" s="175"/>
      <c r="E273" s="131"/>
      <c r="F273" s="248">
        <v>1500</v>
      </c>
      <c r="G273" s="147">
        <f t="shared" si="44"/>
        <v>1500</v>
      </c>
      <c r="H273" s="132">
        <f t="shared" si="45"/>
        <v>0</v>
      </c>
      <c r="I273" s="133"/>
      <c r="J273" s="148">
        <f t="shared" si="43"/>
        <v>0</v>
      </c>
      <c r="K273" s="205"/>
    </row>
    <row r="274" spans="1:11" ht="52.5" x14ac:dyDescent="0.4">
      <c r="A274" s="188">
        <v>1</v>
      </c>
      <c r="B274" s="209" t="s">
        <v>467</v>
      </c>
      <c r="C274" s="29" t="s">
        <v>178</v>
      </c>
      <c r="D274" s="175"/>
      <c r="E274" s="131"/>
      <c r="F274" s="248">
        <v>1500</v>
      </c>
      <c r="G274" s="147">
        <f t="shared" si="44"/>
        <v>1500</v>
      </c>
      <c r="H274" s="132">
        <f t="shared" si="45"/>
        <v>0</v>
      </c>
      <c r="I274" s="133"/>
      <c r="J274" s="148">
        <f t="shared" si="43"/>
        <v>0</v>
      </c>
    </row>
    <row r="275" spans="1:11" x14ac:dyDescent="0.4">
      <c r="A275" s="161" t="s">
        <v>0</v>
      </c>
      <c r="B275" s="161"/>
      <c r="C275" s="161"/>
      <c r="D275" s="120">
        <f>SUM(D253:D274)</f>
        <v>62582.679000000004</v>
      </c>
      <c r="E275" s="120">
        <f>SUM(E253:E274)</f>
        <v>0</v>
      </c>
      <c r="F275" s="120">
        <f>SUM(F253:F274)</f>
        <v>62582.68</v>
      </c>
      <c r="G275" s="120">
        <f>SUM(G253:G274)</f>
        <v>62582.68</v>
      </c>
      <c r="H275" s="120">
        <f t="shared" ref="H275" si="46">IFERROR(G275/D275*100-100,0)</f>
        <v>1.5978861966914337E-6</v>
      </c>
      <c r="I275" s="120">
        <f>SUM(I253:I274)</f>
        <v>0</v>
      </c>
      <c r="J275" s="120">
        <f t="shared" ref="J275" si="47">IFERROR(I275/G275*100,)</f>
        <v>0</v>
      </c>
    </row>
    <row r="276" spans="1:11" x14ac:dyDescent="0.4">
      <c r="A276" s="162"/>
      <c r="B276" s="162"/>
      <c r="C276" s="162"/>
      <c r="D276" s="162"/>
      <c r="E276" s="251"/>
      <c r="F276" s="251"/>
      <c r="G276" s="162"/>
      <c r="H276" s="162"/>
      <c r="I276" s="162"/>
      <c r="J276" s="162"/>
    </row>
    <row r="277" spans="1:11" x14ac:dyDescent="0.4">
      <c r="A277" s="755" t="s">
        <v>259</v>
      </c>
      <c r="B277" s="756"/>
      <c r="C277" s="163"/>
      <c r="D277" s="163"/>
      <c r="E277" s="163"/>
      <c r="F277" s="163"/>
      <c r="G277" s="163"/>
      <c r="H277" s="163"/>
      <c r="I277" s="163"/>
      <c r="J277" s="164"/>
    </row>
    <row r="278" spans="1:11" x14ac:dyDescent="0.4">
      <c r="A278" s="165"/>
      <c r="B278" s="166"/>
      <c r="C278" s="166"/>
      <c r="D278" s="166"/>
      <c r="E278" s="166"/>
      <c r="F278" s="166"/>
      <c r="G278" s="166"/>
      <c r="H278" s="166"/>
      <c r="I278" s="166"/>
      <c r="J278" s="167"/>
    </row>
    <row r="280" spans="1:11" ht="28.5" x14ac:dyDescent="0.4">
      <c r="A280" s="763" t="s">
        <v>77</v>
      </c>
      <c r="B280" s="757"/>
      <c r="C280" s="752" t="s">
        <v>761</v>
      </c>
      <c r="D280" s="753"/>
      <c r="E280" s="753"/>
      <c r="F280" s="753"/>
      <c r="G280" s="753"/>
      <c r="H280" s="753"/>
      <c r="I280" s="753"/>
      <c r="J280" s="754"/>
    </row>
    <row r="281" spans="1:11" ht="28.5" x14ac:dyDescent="0.4">
      <c r="A281" s="757" t="s">
        <v>41</v>
      </c>
      <c r="B281" s="757"/>
      <c r="C281" s="752" t="s">
        <v>32</v>
      </c>
      <c r="D281" s="753"/>
      <c r="E281" s="753"/>
      <c r="F281" s="753"/>
      <c r="G281" s="753"/>
      <c r="H281" s="753"/>
      <c r="I281" s="753"/>
      <c r="J281" s="754"/>
    </row>
    <row r="282" spans="1:11" x14ac:dyDescent="0.4">
      <c r="A282" s="159"/>
      <c r="B282" s="159"/>
      <c r="C282" s="159"/>
      <c r="D282" s="68"/>
      <c r="E282" s="68"/>
      <c r="F282" s="68"/>
      <c r="G282" s="68"/>
      <c r="H282" s="68"/>
      <c r="I282" s="68" t="s">
        <v>208</v>
      </c>
      <c r="J282" s="68"/>
    </row>
    <row r="283" spans="1:11" x14ac:dyDescent="0.4">
      <c r="A283" s="758" t="s">
        <v>285</v>
      </c>
      <c r="B283" s="759"/>
      <c r="C283" s="759"/>
      <c r="D283" s="758" t="s">
        <v>286</v>
      </c>
      <c r="E283" s="759"/>
      <c r="F283" s="759"/>
      <c r="G283" s="759"/>
      <c r="H283" s="760"/>
      <c r="I283" s="764" t="s">
        <v>209</v>
      </c>
      <c r="J283" s="765"/>
    </row>
    <row r="284" spans="1:11" x14ac:dyDescent="0.4">
      <c r="A284" s="758" t="s">
        <v>83</v>
      </c>
      <c r="B284" s="759"/>
      <c r="C284" s="760"/>
      <c r="D284" s="766" t="s">
        <v>297</v>
      </c>
      <c r="E284" s="758" t="s">
        <v>298</v>
      </c>
      <c r="F284" s="759"/>
      <c r="G284" s="760"/>
      <c r="H284" s="768" t="s">
        <v>299</v>
      </c>
      <c r="I284" s="761" t="s">
        <v>300</v>
      </c>
      <c r="J284" s="761" t="s">
        <v>301</v>
      </c>
    </row>
    <row r="285" spans="1:11" ht="78.75" x14ac:dyDescent="0.4">
      <c r="A285" s="160" t="s">
        <v>183</v>
      </c>
      <c r="B285" s="160" t="s">
        <v>182</v>
      </c>
      <c r="C285" s="130" t="s">
        <v>124</v>
      </c>
      <c r="D285" s="767"/>
      <c r="E285" s="160" t="s">
        <v>692</v>
      </c>
      <c r="F285" s="160" t="s">
        <v>693</v>
      </c>
      <c r="G285" s="160" t="s">
        <v>192</v>
      </c>
      <c r="H285" s="768"/>
      <c r="I285" s="762"/>
      <c r="J285" s="762"/>
    </row>
    <row r="286" spans="1:11" ht="78.75" x14ac:dyDescent="0.4">
      <c r="A286" s="190">
        <v>1</v>
      </c>
      <c r="B286" s="172" t="s">
        <v>680</v>
      </c>
      <c r="C286" s="29" t="s">
        <v>178</v>
      </c>
      <c r="D286" s="175">
        <v>63018.85</v>
      </c>
      <c r="E286" s="249">
        <v>25385.14</v>
      </c>
      <c r="F286" s="168">
        <v>39570.529050000005</v>
      </c>
      <c r="G286" s="147">
        <f>E286+F286</f>
        <v>64955.669050000004</v>
      </c>
      <c r="H286" s="132">
        <f>IFERROR(G286/D286*100-100,0)</f>
        <v>3.073396372672633</v>
      </c>
      <c r="I286" s="169"/>
      <c r="J286" s="170">
        <f t="shared" ref="J286:J289" si="48">IFERROR(I286/G286*100,)</f>
        <v>0</v>
      </c>
    </row>
    <row r="287" spans="1:11" ht="78.75" x14ac:dyDescent="0.4">
      <c r="A287" s="190">
        <v>1</v>
      </c>
      <c r="B287" s="172" t="s">
        <v>469</v>
      </c>
      <c r="C287" s="29" t="s">
        <v>178</v>
      </c>
      <c r="D287" s="175">
        <v>1200</v>
      </c>
      <c r="E287" s="131"/>
      <c r="F287" s="131">
        <v>1800</v>
      </c>
      <c r="G287" s="147">
        <f t="shared" ref="G287:G289" si="49">E287+F287</f>
        <v>1800</v>
      </c>
      <c r="H287" s="132">
        <f t="shared" ref="H287:H289" si="50">IFERROR(G287/D287*100-100,0)</f>
        <v>50</v>
      </c>
      <c r="I287" s="133"/>
      <c r="J287" s="148">
        <f t="shared" si="48"/>
        <v>0</v>
      </c>
    </row>
    <row r="288" spans="1:11" ht="131.25" x14ac:dyDescent="0.4">
      <c r="A288" s="190">
        <v>1</v>
      </c>
      <c r="B288" s="172" t="s">
        <v>470</v>
      </c>
      <c r="C288" s="29" t="s">
        <v>178</v>
      </c>
      <c r="D288" s="175">
        <v>47764.06</v>
      </c>
      <c r="E288" s="247">
        <v>14804.23</v>
      </c>
      <c r="F288" s="131">
        <v>37771.764000000003</v>
      </c>
      <c r="G288" s="147">
        <f t="shared" si="49"/>
        <v>52575.994000000006</v>
      </c>
      <c r="H288" s="132">
        <f t="shared" si="50"/>
        <v>10.074382286597938</v>
      </c>
      <c r="I288" s="133"/>
      <c r="J288" s="148">
        <f t="shared" si="48"/>
        <v>0</v>
      </c>
    </row>
    <row r="289" spans="1:10" ht="52.5" x14ac:dyDescent="0.4">
      <c r="A289" s="190">
        <v>1</v>
      </c>
      <c r="B289" s="172" t="s">
        <v>471</v>
      </c>
      <c r="C289" s="29" t="s">
        <v>178</v>
      </c>
      <c r="D289" s="175">
        <v>160</v>
      </c>
      <c r="E289" s="131"/>
      <c r="F289" s="131">
        <v>160</v>
      </c>
      <c r="G289" s="147">
        <f t="shared" si="49"/>
        <v>160</v>
      </c>
      <c r="H289" s="132">
        <f t="shared" si="50"/>
        <v>0</v>
      </c>
      <c r="I289" s="133"/>
      <c r="J289" s="148">
        <f t="shared" si="48"/>
        <v>0</v>
      </c>
    </row>
    <row r="290" spans="1:10" x14ac:dyDescent="0.4">
      <c r="A290" s="161" t="s">
        <v>0</v>
      </c>
      <c r="B290" s="161"/>
      <c r="C290" s="161"/>
      <c r="D290" s="120">
        <f>SUM(D286:D289)</f>
        <v>112142.91</v>
      </c>
      <c r="E290" s="120">
        <f>SUM(E286:E289)</f>
        <v>40189.369999999995</v>
      </c>
      <c r="F290" s="120">
        <f>SUM(F286:F289)</f>
        <v>79302.293050000007</v>
      </c>
      <c r="G290" s="120">
        <f>SUM(G286:G289)</f>
        <v>119491.66305</v>
      </c>
      <c r="H290" s="120">
        <f t="shared" ref="H290" si="51">IFERROR(G290/D290*100-100,0)</f>
        <v>6.553025108765226</v>
      </c>
      <c r="I290" s="120">
        <f>SUM(I286:I289)</f>
        <v>0</v>
      </c>
      <c r="J290" s="120">
        <f t="shared" ref="J290" si="52">IFERROR(I290/G290*100,)</f>
        <v>0</v>
      </c>
    </row>
    <row r="291" spans="1:10" x14ac:dyDescent="0.4">
      <c r="A291" s="162"/>
      <c r="B291" s="162"/>
      <c r="C291" s="162"/>
      <c r="D291" s="224"/>
      <c r="E291" s="224"/>
      <c r="F291" s="251"/>
      <c r="G291" s="162"/>
      <c r="H291" s="162"/>
      <c r="I291" s="162"/>
      <c r="J291" s="162"/>
    </row>
    <row r="292" spans="1:10" x14ac:dyDescent="0.4">
      <c r="A292" s="755" t="s">
        <v>259</v>
      </c>
      <c r="B292" s="756"/>
      <c r="C292" s="163"/>
      <c r="D292" s="163"/>
      <c r="E292" s="163"/>
      <c r="F292" s="163"/>
      <c r="G292" s="163"/>
      <c r="H292" s="163"/>
      <c r="I292" s="163"/>
      <c r="J292" s="164"/>
    </row>
    <row r="293" spans="1:10" x14ac:dyDescent="0.4">
      <c r="A293" s="165"/>
      <c r="B293" s="166"/>
      <c r="C293" s="166"/>
      <c r="D293" s="166"/>
      <c r="E293" s="166"/>
      <c r="F293" s="166"/>
      <c r="G293" s="166"/>
      <c r="H293" s="166"/>
      <c r="I293" s="166"/>
      <c r="J293" s="167"/>
    </row>
    <row r="295" spans="1:10" ht="28.5" x14ac:dyDescent="0.4">
      <c r="A295" s="763" t="s">
        <v>77</v>
      </c>
      <c r="B295" s="757"/>
      <c r="C295" s="752" t="s">
        <v>762</v>
      </c>
      <c r="D295" s="753"/>
      <c r="E295" s="753"/>
      <c r="F295" s="753"/>
      <c r="G295" s="753"/>
      <c r="H295" s="753"/>
      <c r="I295" s="753"/>
      <c r="J295" s="754"/>
    </row>
    <row r="296" spans="1:10" ht="28.5" x14ac:dyDescent="0.4">
      <c r="A296" s="757" t="s">
        <v>41</v>
      </c>
      <c r="B296" s="757"/>
      <c r="C296" s="752" t="s">
        <v>32</v>
      </c>
      <c r="D296" s="753"/>
      <c r="E296" s="753"/>
      <c r="F296" s="753"/>
      <c r="G296" s="753"/>
      <c r="H296" s="753"/>
      <c r="I296" s="753"/>
      <c r="J296" s="754"/>
    </row>
    <row r="297" spans="1:10" x14ac:dyDescent="0.4">
      <c r="A297" s="159"/>
      <c r="B297" s="159"/>
      <c r="C297" s="159"/>
      <c r="D297" s="68"/>
      <c r="E297" s="68"/>
      <c r="F297" s="68"/>
      <c r="G297" s="68"/>
      <c r="H297" s="68"/>
      <c r="I297" s="68" t="s">
        <v>208</v>
      </c>
      <c r="J297" s="68"/>
    </row>
    <row r="298" spans="1:10" x14ac:dyDescent="0.4">
      <c r="A298" s="758" t="s">
        <v>285</v>
      </c>
      <c r="B298" s="759"/>
      <c r="C298" s="759"/>
      <c r="D298" s="758" t="s">
        <v>286</v>
      </c>
      <c r="E298" s="759"/>
      <c r="F298" s="759"/>
      <c r="G298" s="759"/>
      <c r="H298" s="760"/>
      <c r="I298" s="764" t="s">
        <v>209</v>
      </c>
      <c r="J298" s="765"/>
    </row>
    <row r="299" spans="1:10" x14ac:dyDescent="0.4">
      <c r="A299" s="758" t="s">
        <v>83</v>
      </c>
      <c r="B299" s="759"/>
      <c r="C299" s="760"/>
      <c r="D299" s="766" t="s">
        <v>297</v>
      </c>
      <c r="E299" s="758" t="s">
        <v>298</v>
      </c>
      <c r="F299" s="759"/>
      <c r="G299" s="760"/>
      <c r="H299" s="768" t="s">
        <v>299</v>
      </c>
      <c r="I299" s="761" t="s">
        <v>300</v>
      </c>
      <c r="J299" s="761" t="s">
        <v>301</v>
      </c>
    </row>
    <row r="300" spans="1:10" ht="78.75" x14ac:dyDescent="0.4">
      <c r="A300" s="160" t="s">
        <v>183</v>
      </c>
      <c r="B300" s="160" t="s">
        <v>182</v>
      </c>
      <c r="C300" s="130" t="s">
        <v>124</v>
      </c>
      <c r="D300" s="767"/>
      <c r="E300" s="160" t="s">
        <v>692</v>
      </c>
      <c r="F300" s="160" t="s">
        <v>693</v>
      </c>
      <c r="G300" s="160" t="s">
        <v>192</v>
      </c>
      <c r="H300" s="768"/>
      <c r="I300" s="762"/>
      <c r="J300" s="762"/>
    </row>
    <row r="301" spans="1:10" ht="78.75" x14ac:dyDescent="0.4">
      <c r="A301" s="190">
        <v>1</v>
      </c>
      <c r="B301" s="172" t="s">
        <v>468</v>
      </c>
      <c r="C301" s="29" t="s">
        <v>178</v>
      </c>
      <c r="D301" s="175">
        <v>50800.27</v>
      </c>
      <c r="E301" s="249">
        <v>20555.599999999999</v>
      </c>
      <c r="F301" s="168">
        <v>32162.367299999998</v>
      </c>
      <c r="G301" s="147">
        <f>E301+F301</f>
        <v>52717.967299999997</v>
      </c>
      <c r="H301" s="132">
        <f>IFERROR(G301/D301*100-100,0)</f>
        <v>3.7749746211978703</v>
      </c>
      <c r="I301" s="169"/>
      <c r="J301" s="170">
        <f t="shared" ref="J301:J305" si="53">IFERROR(I301/G301*100,)</f>
        <v>0</v>
      </c>
    </row>
    <row r="302" spans="1:10" ht="78.75" x14ac:dyDescent="0.4">
      <c r="A302" s="190">
        <v>1</v>
      </c>
      <c r="B302" s="172" t="s">
        <v>469</v>
      </c>
      <c r="C302" s="29" t="s">
        <v>178</v>
      </c>
      <c r="D302" s="175">
        <v>1220</v>
      </c>
      <c r="E302" s="131">
        <v>0</v>
      </c>
      <c r="F302" s="131">
        <v>1220</v>
      </c>
      <c r="G302" s="147">
        <f t="shared" ref="G302:G304" si="54">E302+F302</f>
        <v>1220</v>
      </c>
      <c r="H302" s="132">
        <f t="shared" ref="H302:H304" si="55">IFERROR(G302/D302*100-100,0)</f>
        <v>0</v>
      </c>
      <c r="I302" s="133"/>
      <c r="J302" s="148">
        <f t="shared" si="53"/>
        <v>0</v>
      </c>
    </row>
    <row r="303" spans="1:10" ht="131.25" x14ac:dyDescent="0.4">
      <c r="A303" s="252">
        <v>1</v>
      </c>
      <c r="B303" s="244" t="s">
        <v>695</v>
      </c>
      <c r="C303" s="209" t="s">
        <v>178</v>
      </c>
      <c r="D303" s="210">
        <v>57808.23</v>
      </c>
      <c r="E303" s="249">
        <v>18632.3</v>
      </c>
      <c r="F303" s="168">
        <v>47248.122000000003</v>
      </c>
      <c r="G303" s="147">
        <f t="shared" si="54"/>
        <v>65880.422000000006</v>
      </c>
      <c r="H303" s="132">
        <f t="shared" si="55"/>
        <v>13.963741840910899</v>
      </c>
      <c r="I303" s="169"/>
      <c r="J303" s="170">
        <f t="shared" si="53"/>
        <v>0</v>
      </c>
    </row>
    <row r="304" spans="1:10" ht="52.5" x14ac:dyDescent="0.4">
      <c r="A304" s="190">
        <v>1</v>
      </c>
      <c r="B304" s="172" t="s">
        <v>471</v>
      </c>
      <c r="C304" s="29" t="s">
        <v>178</v>
      </c>
      <c r="D304" s="175">
        <v>160</v>
      </c>
      <c r="E304" s="131"/>
      <c r="F304" s="131">
        <v>160</v>
      </c>
      <c r="G304" s="147">
        <f t="shared" si="54"/>
        <v>160</v>
      </c>
      <c r="H304" s="132">
        <f t="shared" si="55"/>
        <v>0</v>
      </c>
      <c r="I304" s="133"/>
      <c r="J304" s="148">
        <f t="shared" si="53"/>
        <v>0</v>
      </c>
    </row>
    <row r="305" spans="1:10" x14ac:dyDescent="0.4">
      <c r="A305" s="161" t="s">
        <v>0</v>
      </c>
      <c r="B305" s="161"/>
      <c r="C305" s="161"/>
      <c r="D305" s="120">
        <f>SUM(D301:D304)</f>
        <v>109988.5</v>
      </c>
      <c r="E305" s="120">
        <f>SUM(E301:E304)</f>
        <v>39187.899999999994</v>
      </c>
      <c r="F305" s="120">
        <f>SUM(F301:F304)</f>
        <v>80790.489300000001</v>
      </c>
      <c r="G305" s="120">
        <f>SUM(G301:G304)</f>
        <v>119978.38930000001</v>
      </c>
      <c r="H305" s="120">
        <f t="shared" ref="H305" si="56">IFERROR(G305/D305*100-100,0)</f>
        <v>9.0826670970147063</v>
      </c>
      <c r="I305" s="120">
        <f>SUM(I301:I304)</f>
        <v>0</v>
      </c>
      <c r="J305" s="120">
        <f t="shared" si="53"/>
        <v>0</v>
      </c>
    </row>
    <row r="306" spans="1:10" x14ac:dyDescent="0.4">
      <c r="A306" s="162"/>
      <c r="B306" s="162"/>
      <c r="C306" s="162"/>
      <c r="D306" s="162"/>
      <c r="E306" s="251"/>
      <c r="F306" s="251"/>
      <c r="G306" s="162"/>
      <c r="H306" s="162"/>
      <c r="I306" s="162"/>
      <c r="J306" s="162"/>
    </row>
    <row r="307" spans="1:10" x14ac:dyDescent="0.4">
      <c r="A307" s="755" t="s">
        <v>259</v>
      </c>
      <c r="B307" s="756"/>
      <c r="C307" s="163"/>
      <c r="D307" s="163"/>
      <c r="E307" s="163"/>
      <c r="F307" s="163"/>
      <c r="G307" s="163"/>
      <c r="H307" s="163"/>
      <c r="I307" s="163"/>
      <c r="J307" s="164"/>
    </row>
    <row r="308" spans="1:10" x14ac:dyDescent="0.4">
      <c r="A308" s="165"/>
      <c r="B308" s="166"/>
      <c r="C308" s="166"/>
      <c r="D308" s="166"/>
      <c r="E308" s="166"/>
      <c r="F308" s="166"/>
      <c r="G308" s="166"/>
      <c r="H308" s="166"/>
      <c r="I308" s="166"/>
      <c r="J308" s="167"/>
    </row>
    <row r="310" spans="1:10" ht="28.5" x14ac:dyDescent="0.4">
      <c r="A310" s="763" t="s">
        <v>77</v>
      </c>
      <c r="B310" s="757"/>
      <c r="C310" s="752" t="s">
        <v>764</v>
      </c>
      <c r="D310" s="753"/>
      <c r="E310" s="753"/>
      <c r="F310" s="753"/>
      <c r="G310" s="753"/>
      <c r="H310" s="753"/>
      <c r="I310" s="753"/>
      <c r="J310" s="754"/>
    </row>
    <row r="311" spans="1:10" ht="28.5" x14ac:dyDescent="0.4">
      <c r="A311" s="757" t="s">
        <v>41</v>
      </c>
      <c r="B311" s="757"/>
      <c r="C311" s="752" t="s">
        <v>32</v>
      </c>
      <c r="D311" s="753"/>
      <c r="E311" s="753"/>
      <c r="F311" s="753"/>
      <c r="G311" s="753"/>
      <c r="H311" s="753"/>
      <c r="I311" s="753"/>
      <c r="J311" s="754"/>
    </row>
    <row r="312" spans="1:10" x14ac:dyDescent="0.4">
      <c r="A312" s="159"/>
      <c r="B312" s="159"/>
      <c r="C312" s="159"/>
      <c r="D312" s="68"/>
      <c r="E312" s="68"/>
      <c r="F312" s="68"/>
      <c r="G312" s="68"/>
      <c r="H312" s="68"/>
      <c r="I312" s="68" t="s">
        <v>208</v>
      </c>
      <c r="J312" s="68"/>
    </row>
    <row r="313" spans="1:10" x14ac:dyDescent="0.4">
      <c r="A313" s="758" t="s">
        <v>285</v>
      </c>
      <c r="B313" s="759"/>
      <c r="C313" s="759"/>
      <c r="D313" s="758" t="s">
        <v>286</v>
      </c>
      <c r="E313" s="759"/>
      <c r="F313" s="759"/>
      <c r="G313" s="759"/>
      <c r="H313" s="760"/>
      <c r="I313" s="764" t="s">
        <v>209</v>
      </c>
      <c r="J313" s="765"/>
    </row>
    <row r="314" spans="1:10" x14ac:dyDescent="0.4">
      <c r="A314" s="758" t="s">
        <v>83</v>
      </c>
      <c r="B314" s="759"/>
      <c r="C314" s="760"/>
      <c r="D314" s="766" t="s">
        <v>297</v>
      </c>
      <c r="E314" s="758" t="s">
        <v>298</v>
      </c>
      <c r="F314" s="759"/>
      <c r="G314" s="760"/>
      <c r="H314" s="768" t="s">
        <v>299</v>
      </c>
      <c r="I314" s="761" t="s">
        <v>300</v>
      </c>
      <c r="J314" s="761" t="s">
        <v>301</v>
      </c>
    </row>
    <row r="315" spans="1:10" ht="78.75" x14ac:dyDescent="0.4">
      <c r="A315" s="160" t="s">
        <v>183</v>
      </c>
      <c r="B315" s="160" t="s">
        <v>182</v>
      </c>
      <c r="C315" s="130" t="s">
        <v>124</v>
      </c>
      <c r="D315" s="767"/>
      <c r="E315" s="160" t="s">
        <v>692</v>
      </c>
      <c r="F315" s="160" t="s">
        <v>693</v>
      </c>
      <c r="G315" s="160" t="s">
        <v>192</v>
      </c>
      <c r="H315" s="768"/>
      <c r="I315" s="762"/>
      <c r="J315" s="762"/>
    </row>
    <row r="316" spans="1:10" ht="78.75" x14ac:dyDescent="0.4">
      <c r="A316" s="190">
        <v>1</v>
      </c>
      <c r="B316" s="172" t="s">
        <v>468</v>
      </c>
      <c r="C316" s="29" t="s">
        <v>178</v>
      </c>
      <c r="D316" s="175">
        <v>49997.03</v>
      </c>
      <c r="E316" s="249">
        <v>20484.000000000004</v>
      </c>
      <c r="F316" s="168">
        <v>29884.903059999997</v>
      </c>
      <c r="G316" s="147">
        <f>E316+F316</f>
        <v>50368.903059999997</v>
      </c>
      <c r="H316" s="132">
        <f>IFERROR(G316/D316*100-100,0)</f>
        <v>0.74379030114388911</v>
      </c>
      <c r="I316" s="169"/>
      <c r="J316" s="170">
        <f t="shared" ref="J316:J320" si="57">IFERROR(I316/G316*100,)</f>
        <v>0</v>
      </c>
    </row>
    <row r="317" spans="1:10" ht="78.75" x14ac:dyDescent="0.4">
      <c r="A317" s="190">
        <v>1</v>
      </c>
      <c r="B317" s="172" t="s">
        <v>469</v>
      </c>
      <c r="C317" s="29" t="s">
        <v>178</v>
      </c>
      <c r="D317" s="175">
        <v>1200</v>
      </c>
      <c r="E317" s="131">
        <v>0</v>
      </c>
      <c r="F317" s="131">
        <v>1200</v>
      </c>
      <c r="G317" s="147">
        <f t="shared" ref="G317:G319" si="58">E317+F317</f>
        <v>1200</v>
      </c>
      <c r="H317" s="132">
        <f t="shared" ref="H317:H319" si="59">IFERROR(G317/D317*100-100,0)</f>
        <v>0</v>
      </c>
      <c r="I317" s="133"/>
      <c r="J317" s="148">
        <f t="shared" si="57"/>
        <v>0</v>
      </c>
    </row>
    <row r="318" spans="1:10" ht="131.25" x14ac:dyDescent="0.4">
      <c r="A318" s="190">
        <v>1</v>
      </c>
      <c r="B318" s="172" t="s">
        <v>470</v>
      </c>
      <c r="C318" s="29" t="s">
        <v>178</v>
      </c>
      <c r="D318" s="175">
        <v>41709.550000000003</v>
      </c>
      <c r="E318" s="247">
        <v>17250.020000000004</v>
      </c>
      <c r="F318" s="131">
        <v>34324.031999999999</v>
      </c>
      <c r="G318" s="147">
        <f t="shared" si="58"/>
        <v>51574.052000000003</v>
      </c>
      <c r="H318" s="132">
        <f t="shared" si="59"/>
        <v>23.650463742715999</v>
      </c>
      <c r="I318" s="133"/>
      <c r="J318" s="148">
        <f t="shared" si="57"/>
        <v>0</v>
      </c>
    </row>
    <row r="319" spans="1:10" ht="52.5" x14ac:dyDescent="0.4">
      <c r="A319" s="190">
        <v>1</v>
      </c>
      <c r="B319" s="172" t="s">
        <v>471</v>
      </c>
      <c r="C319" s="29" t="s">
        <v>178</v>
      </c>
      <c r="D319" s="175">
        <v>160</v>
      </c>
      <c r="E319" s="131">
        <v>0</v>
      </c>
      <c r="F319" s="131">
        <v>160</v>
      </c>
      <c r="G319" s="147">
        <f t="shared" si="58"/>
        <v>160</v>
      </c>
      <c r="H319" s="132">
        <f t="shared" si="59"/>
        <v>0</v>
      </c>
      <c r="I319" s="133"/>
      <c r="J319" s="148">
        <f t="shared" si="57"/>
        <v>0</v>
      </c>
    </row>
    <row r="320" spans="1:10" x14ac:dyDescent="0.4">
      <c r="A320" s="161" t="s">
        <v>0</v>
      </c>
      <c r="B320" s="161"/>
      <c r="C320" s="161"/>
      <c r="D320" s="120">
        <f>SUM(D316:D319)</f>
        <v>93066.58</v>
      </c>
      <c r="E320" s="120">
        <f>SUM(E316:E319)</f>
        <v>37734.020000000004</v>
      </c>
      <c r="F320" s="120">
        <f>SUM(F316:F319)</f>
        <v>65568.935059999989</v>
      </c>
      <c r="G320" s="120">
        <f>SUM(G316:G319)</f>
        <v>103302.95506000001</v>
      </c>
      <c r="H320" s="120">
        <f t="shared" ref="H320" si="60">IFERROR(G320/D320*100-100,0)</f>
        <v>10.998980579279902</v>
      </c>
      <c r="I320" s="120">
        <f>SUM(I316:I319)</f>
        <v>0</v>
      </c>
      <c r="J320" s="120">
        <f t="shared" si="57"/>
        <v>0</v>
      </c>
    </row>
    <row r="321" spans="1:10" x14ac:dyDescent="0.4">
      <c r="A321" s="162"/>
      <c r="B321" s="162"/>
      <c r="C321" s="162"/>
      <c r="D321" s="162"/>
      <c r="E321" s="251"/>
      <c r="F321" s="251"/>
      <c r="G321" s="162"/>
      <c r="H321" s="162"/>
      <c r="I321" s="162"/>
      <c r="J321" s="162"/>
    </row>
    <row r="322" spans="1:10" x14ac:dyDescent="0.4">
      <c r="A322" s="755" t="s">
        <v>259</v>
      </c>
      <c r="B322" s="756"/>
      <c r="C322" s="163"/>
      <c r="D322" s="163"/>
      <c r="E322" s="163"/>
      <c r="F322" s="163"/>
      <c r="G322" s="163"/>
      <c r="H322" s="163"/>
      <c r="I322" s="163"/>
      <c r="J322" s="164"/>
    </row>
    <row r="323" spans="1:10" x14ac:dyDescent="0.4">
      <c r="A323" s="165"/>
      <c r="B323" s="166"/>
      <c r="C323" s="166"/>
      <c r="D323" s="166"/>
      <c r="E323" s="166"/>
      <c r="F323" s="166"/>
      <c r="G323" s="166"/>
      <c r="H323" s="166"/>
      <c r="I323" s="166"/>
      <c r="J323" s="167"/>
    </row>
    <row r="325" spans="1:10" ht="28.5" x14ac:dyDescent="0.4">
      <c r="A325" s="763" t="s">
        <v>77</v>
      </c>
      <c r="B325" s="757"/>
      <c r="C325" s="752" t="s">
        <v>765</v>
      </c>
      <c r="D325" s="753"/>
      <c r="E325" s="753"/>
      <c r="F325" s="753"/>
      <c r="G325" s="753"/>
      <c r="H325" s="753"/>
      <c r="I325" s="753"/>
      <c r="J325" s="754"/>
    </row>
    <row r="326" spans="1:10" ht="28.5" x14ac:dyDescent="0.4">
      <c r="A326" s="757" t="s">
        <v>41</v>
      </c>
      <c r="B326" s="757"/>
      <c r="C326" s="752" t="s">
        <v>32</v>
      </c>
      <c r="D326" s="753"/>
      <c r="E326" s="753"/>
      <c r="F326" s="753"/>
      <c r="G326" s="753"/>
      <c r="H326" s="753"/>
      <c r="I326" s="753"/>
      <c r="J326" s="754"/>
    </row>
    <row r="327" spans="1:10" x14ac:dyDescent="0.4">
      <c r="A327" s="159"/>
      <c r="B327" s="159"/>
      <c r="C327" s="159"/>
      <c r="D327" s="68"/>
      <c r="E327" s="68"/>
      <c r="F327" s="68"/>
      <c r="G327" s="68"/>
      <c r="H327" s="68"/>
      <c r="I327" s="68" t="s">
        <v>208</v>
      </c>
      <c r="J327" s="68"/>
    </row>
    <row r="328" spans="1:10" x14ac:dyDescent="0.4">
      <c r="A328" s="758" t="s">
        <v>285</v>
      </c>
      <c r="B328" s="759"/>
      <c r="C328" s="759"/>
      <c r="D328" s="758" t="s">
        <v>286</v>
      </c>
      <c r="E328" s="759"/>
      <c r="F328" s="759"/>
      <c r="G328" s="759"/>
      <c r="H328" s="760"/>
      <c r="I328" s="764" t="s">
        <v>209</v>
      </c>
      <c r="J328" s="765"/>
    </row>
    <row r="329" spans="1:10" x14ac:dyDescent="0.4">
      <c r="A329" s="758" t="s">
        <v>83</v>
      </c>
      <c r="B329" s="759"/>
      <c r="C329" s="760"/>
      <c r="D329" s="766" t="s">
        <v>297</v>
      </c>
      <c r="E329" s="758" t="s">
        <v>298</v>
      </c>
      <c r="F329" s="759"/>
      <c r="G329" s="760"/>
      <c r="H329" s="768" t="s">
        <v>299</v>
      </c>
      <c r="I329" s="761" t="s">
        <v>300</v>
      </c>
      <c r="J329" s="761" t="s">
        <v>301</v>
      </c>
    </row>
    <row r="330" spans="1:10" ht="78.75" x14ac:dyDescent="0.4">
      <c r="A330" s="160" t="s">
        <v>183</v>
      </c>
      <c r="B330" s="160" t="s">
        <v>182</v>
      </c>
      <c r="C330" s="130" t="s">
        <v>124</v>
      </c>
      <c r="D330" s="767"/>
      <c r="E330" s="160" t="s">
        <v>692</v>
      </c>
      <c r="F330" s="160" t="s">
        <v>693</v>
      </c>
      <c r="G330" s="160" t="s">
        <v>192</v>
      </c>
      <c r="H330" s="768"/>
      <c r="I330" s="762"/>
      <c r="J330" s="762"/>
    </row>
    <row r="331" spans="1:10" ht="78.75" x14ac:dyDescent="0.4">
      <c r="A331" s="190">
        <v>1</v>
      </c>
      <c r="B331" s="172" t="s">
        <v>468</v>
      </c>
      <c r="C331" s="29" t="s">
        <v>178</v>
      </c>
      <c r="D331" s="175">
        <v>55590.59</v>
      </c>
      <c r="E331" s="249">
        <v>23652.16</v>
      </c>
      <c r="F331" s="168">
        <v>42080.797409999999</v>
      </c>
      <c r="G331" s="147">
        <f>E331+F331</f>
        <v>65732.957410000003</v>
      </c>
      <c r="H331" s="132">
        <f>IFERROR(G331/D331*100-100,0)</f>
        <v>18.244755830078446</v>
      </c>
      <c r="I331" s="169"/>
      <c r="J331" s="170">
        <f t="shared" ref="J331:J335" si="61">IFERROR(I331/G331*100,)</f>
        <v>0</v>
      </c>
    </row>
    <row r="332" spans="1:10" ht="78.75" x14ac:dyDescent="0.4">
      <c r="A332" s="190">
        <v>1</v>
      </c>
      <c r="B332" s="172" t="s">
        <v>469</v>
      </c>
      <c r="C332" s="29" t="s">
        <v>178</v>
      </c>
      <c r="D332" s="175">
        <v>1200</v>
      </c>
      <c r="E332" s="131"/>
      <c r="F332" s="131">
        <v>1200</v>
      </c>
      <c r="G332" s="147">
        <f t="shared" ref="G332:G334" si="62">E332+F332</f>
        <v>1200</v>
      </c>
      <c r="H332" s="132">
        <f t="shared" ref="H332:H334" si="63">IFERROR(G332/D332*100-100,0)</f>
        <v>0</v>
      </c>
      <c r="I332" s="133"/>
      <c r="J332" s="148">
        <f t="shared" si="61"/>
        <v>0</v>
      </c>
    </row>
    <row r="333" spans="1:10" s="242" customFormat="1" ht="131.25" x14ac:dyDescent="0.4">
      <c r="A333" s="252">
        <v>1</v>
      </c>
      <c r="B333" s="244" t="s">
        <v>470</v>
      </c>
      <c r="C333" s="209" t="s">
        <v>178</v>
      </c>
      <c r="D333" s="210">
        <v>58163.92</v>
      </c>
      <c r="E333" s="249">
        <v>23699.729999999996</v>
      </c>
      <c r="F333" s="168">
        <v>49162.173999999992</v>
      </c>
      <c r="G333" s="147">
        <f t="shared" si="62"/>
        <v>72861.90399999998</v>
      </c>
      <c r="H333" s="132">
        <f t="shared" si="63"/>
        <v>25.269933663343153</v>
      </c>
      <c r="I333" s="169"/>
      <c r="J333" s="170">
        <f t="shared" si="61"/>
        <v>0</v>
      </c>
    </row>
    <row r="334" spans="1:10" ht="52.5" x14ac:dyDescent="0.4">
      <c r="A334" s="190">
        <v>1</v>
      </c>
      <c r="B334" s="172" t="s">
        <v>471</v>
      </c>
      <c r="C334" s="29" t="s">
        <v>178</v>
      </c>
      <c r="D334" s="175">
        <v>160</v>
      </c>
      <c r="E334" s="131"/>
      <c r="F334" s="131">
        <v>160</v>
      </c>
      <c r="G334" s="147">
        <f t="shared" si="62"/>
        <v>160</v>
      </c>
      <c r="H334" s="132">
        <f t="shared" si="63"/>
        <v>0</v>
      </c>
      <c r="I334" s="133"/>
      <c r="J334" s="148">
        <f t="shared" si="61"/>
        <v>0</v>
      </c>
    </row>
    <row r="335" spans="1:10" x14ac:dyDescent="0.4">
      <c r="A335" s="161" t="s">
        <v>0</v>
      </c>
      <c r="B335" s="161"/>
      <c r="C335" s="161"/>
      <c r="D335" s="120">
        <f>SUM(D331:D334)</f>
        <v>115114.51</v>
      </c>
      <c r="E335" s="120">
        <f>SUM(E331:E334)</f>
        <v>47351.89</v>
      </c>
      <c r="F335" s="120">
        <f>SUM(F331:F334)</f>
        <v>92602.971409999998</v>
      </c>
      <c r="G335" s="120">
        <f>SUM(G331:G334)</f>
        <v>139954.86140999998</v>
      </c>
      <c r="H335" s="120">
        <f t="shared" ref="H335" si="64">IFERROR(G335/D335*100-100,0)</f>
        <v>21.578818699745142</v>
      </c>
      <c r="I335" s="120">
        <f>SUM(I331:I334)</f>
        <v>0</v>
      </c>
      <c r="J335" s="120">
        <f t="shared" si="61"/>
        <v>0</v>
      </c>
    </row>
    <row r="336" spans="1:10" x14ac:dyDescent="0.4">
      <c r="A336" s="162"/>
      <c r="B336" s="162"/>
      <c r="C336" s="162"/>
      <c r="D336" s="162"/>
      <c r="E336" s="251"/>
      <c r="F336" s="251"/>
      <c r="G336" s="162"/>
      <c r="H336" s="162"/>
      <c r="I336" s="162"/>
      <c r="J336" s="162"/>
    </row>
    <row r="337" spans="1:10" x14ac:dyDescent="0.4">
      <c r="A337" s="755" t="s">
        <v>259</v>
      </c>
      <c r="B337" s="756"/>
      <c r="C337" s="163"/>
      <c r="D337" s="163"/>
      <c r="E337" s="163"/>
      <c r="F337" s="163"/>
      <c r="G337" s="163"/>
      <c r="H337" s="163"/>
      <c r="I337" s="163"/>
      <c r="J337" s="164"/>
    </row>
    <row r="338" spans="1:10" x14ac:dyDescent="0.4">
      <c r="A338" s="165"/>
      <c r="B338" s="166"/>
      <c r="C338" s="166"/>
      <c r="D338" s="166"/>
      <c r="E338" s="166"/>
      <c r="F338" s="166"/>
      <c r="G338" s="166"/>
      <c r="H338" s="166"/>
      <c r="I338" s="166"/>
      <c r="J338" s="167"/>
    </row>
    <row r="340" spans="1:10" ht="28.5" x14ac:dyDescent="0.4">
      <c r="A340" s="763" t="s">
        <v>77</v>
      </c>
      <c r="B340" s="757"/>
      <c r="C340" s="752" t="s">
        <v>770</v>
      </c>
      <c r="D340" s="753"/>
      <c r="E340" s="753"/>
      <c r="F340" s="753"/>
      <c r="G340" s="753"/>
      <c r="H340" s="753"/>
      <c r="I340" s="753"/>
      <c r="J340" s="754"/>
    </row>
    <row r="341" spans="1:10" ht="28.5" x14ac:dyDescent="0.4">
      <c r="A341" s="757" t="s">
        <v>41</v>
      </c>
      <c r="B341" s="757"/>
      <c r="C341" s="752" t="s">
        <v>32</v>
      </c>
      <c r="D341" s="753"/>
      <c r="E341" s="753"/>
      <c r="F341" s="753"/>
      <c r="G341" s="753"/>
      <c r="H341" s="753"/>
      <c r="I341" s="753"/>
      <c r="J341" s="754"/>
    </row>
    <row r="342" spans="1:10" x14ac:dyDescent="0.4">
      <c r="A342" s="159"/>
      <c r="B342" s="159"/>
      <c r="C342" s="159"/>
      <c r="D342" s="68"/>
      <c r="E342" s="68"/>
      <c r="F342" s="68"/>
      <c r="G342" s="68"/>
      <c r="H342" s="68"/>
      <c r="I342" s="68" t="s">
        <v>208</v>
      </c>
      <c r="J342" s="68"/>
    </row>
    <row r="343" spans="1:10" x14ac:dyDescent="0.4">
      <c r="A343" s="758" t="s">
        <v>285</v>
      </c>
      <c r="B343" s="759"/>
      <c r="C343" s="759"/>
      <c r="D343" s="758" t="s">
        <v>286</v>
      </c>
      <c r="E343" s="759"/>
      <c r="F343" s="759"/>
      <c r="G343" s="759"/>
      <c r="H343" s="760"/>
      <c r="I343" s="764" t="s">
        <v>209</v>
      </c>
      <c r="J343" s="765"/>
    </row>
    <row r="344" spans="1:10" x14ac:dyDescent="0.4">
      <c r="A344" s="758" t="s">
        <v>83</v>
      </c>
      <c r="B344" s="759"/>
      <c r="C344" s="760"/>
      <c r="D344" s="766" t="s">
        <v>297</v>
      </c>
      <c r="E344" s="758" t="s">
        <v>298</v>
      </c>
      <c r="F344" s="759"/>
      <c r="G344" s="760"/>
      <c r="H344" s="768" t="s">
        <v>299</v>
      </c>
      <c r="I344" s="761" t="s">
        <v>300</v>
      </c>
      <c r="J344" s="761" t="s">
        <v>301</v>
      </c>
    </row>
    <row r="345" spans="1:10" ht="78.75" x14ac:dyDescent="0.4">
      <c r="A345" s="160" t="s">
        <v>183</v>
      </c>
      <c r="B345" s="160" t="s">
        <v>182</v>
      </c>
      <c r="C345" s="130" t="s">
        <v>124</v>
      </c>
      <c r="D345" s="767"/>
      <c r="E345" s="160" t="s">
        <v>692</v>
      </c>
      <c r="F345" s="160" t="s">
        <v>693</v>
      </c>
      <c r="G345" s="160" t="s">
        <v>192</v>
      </c>
      <c r="H345" s="768"/>
      <c r="I345" s="762"/>
      <c r="J345" s="762"/>
    </row>
    <row r="346" spans="1:10" ht="78.75" x14ac:dyDescent="0.4">
      <c r="A346" s="190">
        <v>1</v>
      </c>
      <c r="B346" s="172" t="s">
        <v>468</v>
      </c>
      <c r="C346" s="29" t="s">
        <v>178</v>
      </c>
      <c r="D346" s="175">
        <v>44950.9</v>
      </c>
      <c r="E346" s="249">
        <v>17271.55</v>
      </c>
      <c r="F346" s="249">
        <v>28206.259818888888</v>
      </c>
      <c r="G346" s="147">
        <f>E346+F346</f>
        <v>45477.809818888883</v>
      </c>
      <c r="H346" s="132">
        <f>IFERROR(G346/D346*100-100,0)</f>
        <v>1.1721896978456101</v>
      </c>
      <c r="I346" s="169"/>
      <c r="J346" s="170">
        <f t="shared" ref="J346:J350" si="65">IFERROR(I346/G346*100,)</f>
        <v>0</v>
      </c>
    </row>
    <row r="347" spans="1:10" ht="78.75" x14ac:dyDescent="0.4">
      <c r="A347" s="190">
        <v>1</v>
      </c>
      <c r="B347" s="172" t="s">
        <v>469</v>
      </c>
      <c r="C347" s="29" t="s">
        <v>178</v>
      </c>
      <c r="D347" s="175">
        <v>1200</v>
      </c>
      <c r="E347" s="131"/>
      <c r="F347" s="247">
        <v>1200</v>
      </c>
      <c r="G347" s="147">
        <f t="shared" ref="G347:G349" si="66">E347+F347</f>
        <v>1200</v>
      </c>
      <c r="H347" s="132">
        <f t="shared" ref="H347:H349" si="67">IFERROR(G347/D347*100-100,0)</f>
        <v>0</v>
      </c>
      <c r="I347" s="133"/>
      <c r="J347" s="148">
        <f t="shared" si="65"/>
        <v>0</v>
      </c>
    </row>
    <row r="348" spans="1:10" s="242" customFormat="1" ht="105" x14ac:dyDescent="0.4">
      <c r="A348" s="252">
        <v>1</v>
      </c>
      <c r="B348" s="244" t="s">
        <v>473</v>
      </c>
      <c r="C348" s="209" t="s">
        <v>178</v>
      </c>
      <c r="D348" s="210">
        <v>45207.58</v>
      </c>
      <c r="E348" s="249">
        <v>10249.020000000002</v>
      </c>
      <c r="F348" s="249">
        <v>20863.302000000003</v>
      </c>
      <c r="G348" s="147">
        <f t="shared" si="66"/>
        <v>31112.322000000007</v>
      </c>
      <c r="H348" s="132">
        <f t="shared" si="67"/>
        <v>-31.178970429295248</v>
      </c>
      <c r="I348" s="169"/>
      <c r="J348" s="170">
        <f t="shared" si="65"/>
        <v>0</v>
      </c>
    </row>
    <row r="349" spans="1:10" ht="78.75" x14ac:dyDescent="0.4">
      <c r="A349" s="190">
        <v>1</v>
      </c>
      <c r="B349" s="172" t="s">
        <v>474</v>
      </c>
      <c r="C349" s="29" t="s">
        <v>178</v>
      </c>
      <c r="D349" s="175">
        <v>160</v>
      </c>
      <c r="E349" s="131"/>
      <c r="F349" s="247">
        <v>160</v>
      </c>
      <c r="G349" s="147">
        <f t="shared" si="66"/>
        <v>160</v>
      </c>
      <c r="H349" s="132">
        <f t="shared" si="67"/>
        <v>0</v>
      </c>
      <c r="I349" s="133"/>
      <c r="J349" s="148">
        <f t="shared" si="65"/>
        <v>0</v>
      </c>
    </row>
    <row r="350" spans="1:10" x14ac:dyDescent="0.4">
      <c r="A350" s="161" t="s">
        <v>0</v>
      </c>
      <c r="B350" s="161"/>
      <c r="C350" s="161"/>
      <c r="D350" s="120">
        <f>SUM(D346:D349)</f>
        <v>91518.48000000001</v>
      </c>
      <c r="E350" s="120">
        <f>SUM(E346:E349)</f>
        <v>27520.57</v>
      </c>
      <c r="F350" s="120">
        <f>SUM(F346:F349)</f>
        <v>50429.561818888891</v>
      </c>
      <c r="G350" s="120">
        <f>SUM(G346:G349)</f>
        <v>77950.131818888884</v>
      </c>
      <c r="H350" s="120">
        <f t="shared" ref="H350" si="68">IFERROR(G350/D350*100-100,0)</f>
        <v>-14.825801500539697</v>
      </c>
      <c r="I350" s="120">
        <f>SUM(I346:I349)</f>
        <v>0</v>
      </c>
      <c r="J350" s="120">
        <f t="shared" si="65"/>
        <v>0</v>
      </c>
    </row>
    <row r="351" spans="1:10" x14ac:dyDescent="0.4">
      <c r="A351" s="162"/>
      <c r="B351" s="162"/>
      <c r="C351" s="162"/>
      <c r="D351" s="162"/>
      <c r="E351" s="251"/>
      <c r="F351" s="251"/>
      <c r="G351" s="162"/>
      <c r="H351" s="162"/>
      <c r="I351" s="162"/>
      <c r="J351" s="162"/>
    </row>
    <row r="352" spans="1:10" x14ac:dyDescent="0.4">
      <c r="A352" s="755" t="s">
        <v>259</v>
      </c>
      <c r="B352" s="756"/>
      <c r="C352" s="163"/>
      <c r="D352" s="163"/>
      <c r="E352" s="163"/>
      <c r="F352" s="163"/>
      <c r="G352" s="163"/>
      <c r="H352" s="163"/>
      <c r="I352" s="163"/>
      <c r="J352" s="164"/>
    </row>
    <row r="353" spans="1:12" x14ac:dyDescent="0.4">
      <c r="A353" s="165"/>
      <c r="B353" s="166"/>
      <c r="C353" s="166"/>
      <c r="D353" s="166"/>
      <c r="E353" s="166"/>
      <c r="F353" s="166"/>
      <c r="G353" s="166"/>
      <c r="H353" s="166"/>
      <c r="I353" s="166"/>
      <c r="J353" s="167"/>
    </row>
    <row r="355" spans="1:12" ht="28.5" x14ac:dyDescent="0.4">
      <c r="A355" s="763" t="s">
        <v>77</v>
      </c>
      <c r="B355" s="757"/>
      <c r="C355" s="752" t="s">
        <v>479</v>
      </c>
      <c r="D355" s="753"/>
      <c r="E355" s="753"/>
      <c r="F355" s="753"/>
      <c r="G355" s="753"/>
      <c r="H355" s="753"/>
      <c r="I355" s="753"/>
      <c r="J355" s="754"/>
    </row>
    <row r="356" spans="1:12" ht="28.5" x14ac:dyDescent="0.4">
      <c r="A356" s="757" t="s">
        <v>41</v>
      </c>
      <c r="B356" s="757"/>
      <c r="C356" s="752" t="s">
        <v>35</v>
      </c>
      <c r="D356" s="753"/>
      <c r="E356" s="753"/>
      <c r="F356" s="753"/>
      <c r="G356" s="753"/>
      <c r="H356" s="753"/>
      <c r="I356" s="753"/>
      <c r="J356" s="754"/>
    </row>
    <row r="357" spans="1:12" x14ac:dyDescent="0.4">
      <c r="A357" s="159"/>
      <c r="B357" s="159"/>
      <c r="C357" s="159"/>
      <c r="D357" s="68"/>
      <c r="E357" s="68"/>
      <c r="F357" s="68"/>
      <c r="G357" s="68"/>
      <c r="H357" s="68"/>
      <c r="I357" s="68" t="s">
        <v>208</v>
      </c>
      <c r="J357" s="68"/>
    </row>
    <row r="358" spans="1:12" x14ac:dyDescent="0.4">
      <c r="A358" s="758" t="s">
        <v>285</v>
      </c>
      <c r="B358" s="759"/>
      <c r="C358" s="759"/>
      <c r="D358" s="758" t="s">
        <v>286</v>
      </c>
      <c r="E358" s="759"/>
      <c r="F358" s="759"/>
      <c r="G358" s="759"/>
      <c r="H358" s="760"/>
      <c r="I358" s="764" t="s">
        <v>209</v>
      </c>
      <c r="J358" s="765"/>
    </row>
    <row r="359" spans="1:12" x14ac:dyDescent="0.4">
      <c r="A359" s="758" t="s">
        <v>83</v>
      </c>
      <c r="B359" s="759"/>
      <c r="C359" s="760"/>
      <c r="D359" s="766" t="s">
        <v>297</v>
      </c>
      <c r="E359" s="758" t="s">
        <v>298</v>
      </c>
      <c r="F359" s="759"/>
      <c r="G359" s="760"/>
      <c r="H359" s="768" t="s">
        <v>299</v>
      </c>
      <c r="I359" s="761" t="s">
        <v>300</v>
      </c>
      <c r="J359" s="761" t="s">
        <v>301</v>
      </c>
    </row>
    <row r="360" spans="1:12" ht="78.75" x14ac:dyDescent="0.4">
      <c r="A360" s="160" t="s">
        <v>183</v>
      </c>
      <c r="B360" s="160" t="s">
        <v>182</v>
      </c>
      <c r="C360" s="130" t="s">
        <v>124</v>
      </c>
      <c r="D360" s="767"/>
      <c r="E360" s="160" t="s">
        <v>692</v>
      </c>
      <c r="F360" s="160" t="s">
        <v>693</v>
      </c>
      <c r="G360" s="160" t="s">
        <v>192</v>
      </c>
      <c r="H360" s="768"/>
      <c r="I360" s="762"/>
      <c r="J360" s="762"/>
    </row>
    <row r="361" spans="1:12" ht="52.5" x14ac:dyDescent="0.4">
      <c r="A361" s="190">
        <v>1</v>
      </c>
      <c r="B361" s="187" t="s">
        <v>475</v>
      </c>
      <c r="C361" s="29" t="s">
        <v>178</v>
      </c>
      <c r="D361" s="175">
        <v>1218416.6499999999</v>
      </c>
      <c r="E361" s="249">
        <v>461203.47</v>
      </c>
      <c r="F361" s="168">
        <v>673109.80001444439</v>
      </c>
      <c r="G361" s="147">
        <f>E361+F361</f>
        <v>1134313.2700144444</v>
      </c>
      <c r="H361" s="132">
        <f>IFERROR(G361/D361*100-100,0)</f>
        <v>-6.9026781590316801</v>
      </c>
      <c r="I361" s="169"/>
      <c r="J361" s="170">
        <f t="shared" ref="J361:J369" si="69">IFERROR(I361/G361*100,)</f>
        <v>0</v>
      </c>
      <c r="K361" s="253"/>
      <c r="L361" s="205"/>
    </row>
    <row r="362" spans="1:12" ht="78.75" x14ac:dyDescent="0.4">
      <c r="A362" s="190">
        <v>1</v>
      </c>
      <c r="B362" s="187" t="s">
        <v>476</v>
      </c>
      <c r="C362" s="29" t="s">
        <v>178</v>
      </c>
      <c r="D362" s="175">
        <v>20828</v>
      </c>
      <c r="E362" s="247">
        <v>12998.94</v>
      </c>
      <c r="F362" s="131">
        <v>38945.199999999997</v>
      </c>
      <c r="G362" s="147">
        <f t="shared" ref="G362:G368" si="70">E362+F362</f>
        <v>51944.14</v>
      </c>
      <c r="H362" s="132">
        <f t="shared" ref="H362:H368" si="71">IFERROR(G362/D362*100-100,0)</f>
        <v>149.39571730362974</v>
      </c>
      <c r="I362" s="133"/>
      <c r="J362" s="148">
        <f t="shared" si="69"/>
        <v>0</v>
      </c>
    </row>
    <row r="363" spans="1:12" ht="131.25" x14ac:dyDescent="0.4">
      <c r="A363" s="190">
        <v>1</v>
      </c>
      <c r="B363" s="187" t="s">
        <v>477</v>
      </c>
      <c r="C363" s="29" t="s">
        <v>178</v>
      </c>
      <c r="D363" s="175">
        <v>713106.59899999597</v>
      </c>
      <c r="E363" s="247">
        <v>168911.38000000003</v>
      </c>
      <c r="F363" s="131">
        <v>396572.02012361196</v>
      </c>
      <c r="G363" s="147">
        <f t="shared" si="70"/>
        <v>565483.40012361202</v>
      </c>
      <c r="H363" s="132">
        <f t="shared" si="71"/>
        <v>-20.701420949322156</v>
      </c>
      <c r="I363" s="133"/>
      <c r="J363" s="148">
        <f t="shared" si="69"/>
        <v>0</v>
      </c>
    </row>
    <row r="364" spans="1:12" ht="52.5" x14ac:dyDescent="0.4">
      <c r="A364" s="190">
        <v>1</v>
      </c>
      <c r="B364" s="187" t="s">
        <v>696</v>
      </c>
      <c r="C364" s="29" t="s">
        <v>178</v>
      </c>
      <c r="D364" s="175">
        <v>251411.00400000002</v>
      </c>
      <c r="E364" s="247">
        <v>110923.84</v>
      </c>
      <c r="F364" s="131">
        <v>201071.68599999999</v>
      </c>
      <c r="G364" s="147">
        <f t="shared" si="70"/>
        <v>311995.52599999995</v>
      </c>
      <c r="H364" s="132">
        <f t="shared" si="71"/>
        <v>24.097800428814935</v>
      </c>
      <c r="I364" s="133"/>
      <c r="J364" s="148">
        <f t="shared" si="69"/>
        <v>0</v>
      </c>
    </row>
    <row r="365" spans="1:12" ht="52.5" x14ac:dyDescent="0.4">
      <c r="A365" s="190">
        <v>1</v>
      </c>
      <c r="B365" s="187" t="s">
        <v>478</v>
      </c>
      <c r="C365" s="29" t="s">
        <v>178</v>
      </c>
      <c r="D365" s="175">
        <v>35014</v>
      </c>
      <c r="E365" s="247">
        <v>8305.9</v>
      </c>
      <c r="F365" s="249">
        <v>55000</v>
      </c>
      <c r="G365" s="147">
        <f t="shared" si="70"/>
        <v>63305.9</v>
      </c>
      <c r="H365" s="132">
        <f t="shared" si="71"/>
        <v>80.801679328268705</v>
      </c>
      <c r="I365" s="133"/>
      <c r="J365" s="148">
        <f t="shared" si="69"/>
        <v>0</v>
      </c>
    </row>
    <row r="366" spans="1:12" ht="52.5" x14ac:dyDescent="0.4">
      <c r="A366" s="189">
        <v>1</v>
      </c>
      <c r="B366" s="187" t="s">
        <v>688</v>
      </c>
      <c r="C366" s="29" t="s">
        <v>178</v>
      </c>
      <c r="D366" s="175"/>
      <c r="E366" s="207"/>
      <c r="F366" s="249">
        <v>35000</v>
      </c>
      <c r="G366" s="147">
        <f t="shared" si="70"/>
        <v>35000</v>
      </c>
      <c r="H366" s="132">
        <f t="shared" si="71"/>
        <v>0</v>
      </c>
      <c r="I366" s="133"/>
      <c r="J366" s="148">
        <f t="shared" si="69"/>
        <v>0</v>
      </c>
    </row>
    <row r="367" spans="1:12" ht="105" x14ac:dyDescent="0.4">
      <c r="A367" s="189">
        <v>5</v>
      </c>
      <c r="B367" s="172" t="s">
        <v>480</v>
      </c>
      <c r="C367" s="29" t="s">
        <v>178</v>
      </c>
      <c r="D367" s="175"/>
      <c r="E367" s="131"/>
      <c r="F367" s="249">
        <v>6000</v>
      </c>
      <c r="G367" s="147">
        <f t="shared" si="70"/>
        <v>6000</v>
      </c>
      <c r="H367" s="132">
        <f t="shared" si="71"/>
        <v>0</v>
      </c>
      <c r="I367" s="133"/>
      <c r="J367" s="148">
        <f t="shared" si="69"/>
        <v>0</v>
      </c>
    </row>
    <row r="368" spans="1:12" ht="105" x14ac:dyDescent="0.4">
      <c r="A368" s="189">
        <v>1</v>
      </c>
      <c r="B368" s="244" t="s">
        <v>481</v>
      </c>
      <c r="C368" s="29" t="s">
        <v>178</v>
      </c>
      <c r="D368" s="175"/>
      <c r="E368" s="131"/>
      <c r="F368" s="131">
        <v>0</v>
      </c>
      <c r="G368" s="147">
        <f t="shared" si="70"/>
        <v>0</v>
      </c>
      <c r="H368" s="132">
        <f t="shared" si="71"/>
        <v>0</v>
      </c>
      <c r="I368" s="133"/>
      <c r="J368" s="148">
        <f t="shared" si="69"/>
        <v>0</v>
      </c>
      <c r="K368" s="205"/>
    </row>
    <row r="369" spans="1:11" x14ac:dyDescent="0.4">
      <c r="A369" s="161" t="s">
        <v>0</v>
      </c>
      <c r="B369" s="161"/>
      <c r="C369" s="161"/>
      <c r="D369" s="120">
        <f>SUM(D361:D368)</f>
        <v>2238776.2529999958</v>
      </c>
      <c r="E369" s="120">
        <f>SUM(E361:E368)</f>
        <v>762343.53</v>
      </c>
      <c r="F369" s="120">
        <f>SUM(F361:F368)</f>
        <v>1405698.7061380562</v>
      </c>
      <c r="G369" s="120">
        <f>SUM(G361:G368)</f>
        <v>2168042.236138056</v>
      </c>
      <c r="H369" s="120">
        <f t="shared" ref="H369" si="72">IFERROR(G369/D369*100-100,0)</f>
        <v>-3.1594946912249497</v>
      </c>
      <c r="I369" s="120">
        <f>SUM(I361:I368)</f>
        <v>0</v>
      </c>
      <c r="J369" s="120">
        <f t="shared" si="69"/>
        <v>0</v>
      </c>
      <c r="K369" s="205"/>
    </row>
    <row r="370" spans="1:11" x14ac:dyDescent="0.4">
      <c r="A370" s="162"/>
      <c r="B370" s="162"/>
      <c r="C370" s="162"/>
      <c r="D370" s="224"/>
      <c r="E370" s="224"/>
      <c r="F370" s="224"/>
      <c r="G370" s="162"/>
      <c r="H370" s="162"/>
      <c r="I370" s="162"/>
      <c r="J370" s="162"/>
      <c r="K370" s="205"/>
    </row>
    <row r="371" spans="1:11" x14ac:dyDescent="0.4">
      <c r="A371" s="755" t="s">
        <v>259</v>
      </c>
      <c r="B371" s="756"/>
      <c r="C371" s="163"/>
      <c r="D371" s="163"/>
      <c r="E371" s="163"/>
      <c r="F371" s="163"/>
      <c r="G371" s="163"/>
      <c r="H371" s="163"/>
      <c r="I371" s="163"/>
      <c r="J371" s="164"/>
    </row>
    <row r="372" spans="1:11" x14ac:dyDescent="0.4">
      <c r="A372" s="165"/>
      <c r="B372" s="166"/>
      <c r="C372" s="166"/>
      <c r="D372" s="166"/>
      <c r="E372" s="166"/>
      <c r="F372" s="166"/>
      <c r="G372" s="166"/>
      <c r="H372" s="166"/>
      <c r="I372" s="166"/>
      <c r="J372" s="167"/>
    </row>
    <row r="374" spans="1:11" ht="28.5" x14ac:dyDescent="0.4">
      <c r="A374" s="763" t="s">
        <v>77</v>
      </c>
      <c r="B374" s="757"/>
      <c r="C374" s="752" t="s">
        <v>482</v>
      </c>
      <c r="D374" s="753"/>
      <c r="E374" s="753"/>
      <c r="F374" s="753"/>
      <c r="G374" s="753"/>
      <c r="H374" s="753"/>
      <c r="I374" s="753"/>
      <c r="J374" s="754"/>
    </row>
    <row r="375" spans="1:11" ht="28.5" x14ac:dyDescent="0.4">
      <c r="A375" s="757" t="s">
        <v>41</v>
      </c>
      <c r="B375" s="757"/>
      <c r="C375" s="752" t="s">
        <v>35</v>
      </c>
      <c r="D375" s="753"/>
      <c r="E375" s="753"/>
      <c r="F375" s="753"/>
      <c r="G375" s="753"/>
      <c r="H375" s="753"/>
      <c r="I375" s="753"/>
      <c r="J375" s="754"/>
    </row>
    <row r="376" spans="1:11" x14ac:dyDescent="0.4">
      <c r="A376" s="159"/>
      <c r="B376" s="159"/>
      <c r="C376" s="159"/>
      <c r="D376" s="68"/>
      <c r="E376" s="68"/>
      <c r="F376" s="68"/>
      <c r="G376" s="68"/>
      <c r="H376" s="68"/>
      <c r="I376" s="68" t="s">
        <v>208</v>
      </c>
      <c r="J376" s="68"/>
    </row>
    <row r="377" spans="1:11" x14ac:dyDescent="0.4">
      <c r="A377" s="758" t="s">
        <v>285</v>
      </c>
      <c r="B377" s="759"/>
      <c r="C377" s="759"/>
      <c r="D377" s="758" t="s">
        <v>286</v>
      </c>
      <c r="E377" s="759"/>
      <c r="F377" s="759"/>
      <c r="G377" s="759"/>
      <c r="H377" s="760"/>
      <c r="I377" s="764" t="s">
        <v>209</v>
      </c>
      <c r="J377" s="765"/>
    </row>
    <row r="378" spans="1:11" x14ac:dyDescent="0.4">
      <c r="A378" s="758" t="s">
        <v>83</v>
      </c>
      <c r="B378" s="759"/>
      <c r="C378" s="760"/>
      <c r="D378" s="766" t="s">
        <v>297</v>
      </c>
      <c r="E378" s="758" t="s">
        <v>298</v>
      </c>
      <c r="F378" s="759"/>
      <c r="G378" s="760"/>
      <c r="H378" s="768" t="s">
        <v>299</v>
      </c>
      <c r="I378" s="761" t="s">
        <v>300</v>
      </c>
      <c r="J378" s="761" t="s">
        <v>301</v>
      </c>
    </row>
    <row r="379" spans="1:11" ht="78.75" x14ac:dyDescent="0.4">
      <c r="A379" s="160" t="s">
        <v>183</v>
      </c>
      <c r="B379" s="160" t="s">
        <v>182</v>
      </c>
      <c r="C379" s="130" t="s">
        <v>124</v>
      </c>
      <c r="D379" s="767"/>
      <c r="E379" s="160" t="s">
        <v>692</v>
      </c>
      <c r="F379" s="160" t="s">
        <v>693</v>
      </c>
      <c r="G379" s="160" t="s">
        <v>192</v>
      </c>
      <c r="H379" s="768"/>
      <c r="I379" s="762"/>
      <c r="J379" s="762"/>
    </row>
    <row r="380" spans="1:11" ht="52.5" x14ac:dyDescent="0.4">
      <c r="A380" s="189">
        <v>12</v>
      </c>
      <c r="B380" s="187" t="s">
        <v>483</v>
      </c>
      <c r="C380" s="29" t="s">
        <v>178</v>
      </c>
      <c r="D380" s="210">
        <v>257042.4</v>
      </c>
      <c r="E380" s="249">
        <v>107101</v>
      </c>
      <c r="F380" s="168">
        <v>109957.38</v>
      </c>
      <c r="G380" s="147">
        <f>E380+F380</f>
        <v>217058.38</v>
      </c>
      <c r="H380" s="132">
        <f>IFERROR(G380/D380*100-100,0)</f>
        <v>-15.555418094446665</v>
      </c>
      <c r="I380" s="169"/>
      <c r="J380" s="170"/>
      <c r="K380" s="253"/>
    </row>
    <row r="381" spans="1:11" x14ac:dyDescent="0.4">
      <c r="A381" s="161" t="s">
        <v>0</v>
      </c>
      <c r="B381" s="161"/>
      <c r="C381" s="161"/>
      <c r="D381" s="120">
        <f>SUM(D380:D380)</f>
        <v>257042.4</v>
      </c>
      <c r="E381" s="120">
        <f>SUM(E380:E380)</f>
        <v>107101</v>
      </c>
      <c r="F381" s="120">
        <f>SUM(F380:F380)</f>
        <v>109957.38</v>
      </c>
      <c r="G381" s="120">
        <f>SUM(G380:G380)</f>
        <v>217058.38</v>
      </c>
      <c r="H381" s="120">
        <f t="shared" ref="H381" si="73">IFERROR(G381/D381*100-100,0)</f>
        <v>-15.555418094446665</v>
      </c>
      <c r="I381" s="120">
        <f>SUM(I380:I380)</f>
        <v>0</v>
      </c>
      <c r="J381" s="120">
        <f t="shared" ref="J381" si="74">IFERROR(I381/G381*100,)</f>
        <v>0</v>
      </c>
    </row>
    <row r="382" spans="1:11" x14ac:dyDescent="0.4">
      <c r="A382" s="162"/>
      <c r="B382" s="162"/>
      <c r="C382" s="162"/>
      <c r="D382" s="224"/>
      <c r="E382" s="224"/>
      <c r="F382" s="224"/>
      <c r="G382" s="162"/>
      <c r="H382" s="162"/>
      <c r="I382" s="162"/>
      <c r="J382" s="162"/>
    </row>
    <row r="383" spans="1:11" x14ac:dyDescent="0.4">
      <c r="A383" s="755" t="s">
        <v>259</v>
      </c>
      <c r="B383" s="756"/>
      <c r="C383" s="163"/>
      <c r="D383" s="163"/>
      <c r="E383" s="163"/>
      <c r="F383" s="163"/>
      <c r="G383" s="163"/>
      <c r="H383" s="163"/>
      <c r="I383" s="163"/>
      <c r="J383" s="164"/>
    </row>
    <row r="384" spans="1:11" x14ac:dyDescent="0.4">
      <c r="A384" s="165"/>
      <c r="B384" s="166"/>
      <c r="C384" s="166"/>
      <c r="D384" s="166"/>
      <c r="E384" s="166"/>
      <c r="F384" s="166"/>
      <c r="G384" s="166"/>
      <c r="H384" s="166"/>
      <c r="I384" s="166"/>
      <c r="J384" s="167"/>
    </row>
    <row r="386" spans="1:11" ht="28.5" x14ac:dyDescent="0.4">
      <c r="A386" s="763" t="s">
        <v>77</v>
      </c>
      <c r="B386" s="757"/>
      <c r="C386" s="752" t="s">
        <v>484</v>
      </c>
      <c r="D386" s="753"/>
      <c r="E386" s="753"/>
      <c r="F386" s="753"/>
      <c r="G386" s="753"/>
      <c r="H386" s="753"/>
      <c r="I386" s="753"/>
      <c r="J386" s="754"/>
    </row>
    <row r="387" spans="1:11" ht="28.5" x14ac:dyDescent="0.4">
      <c r="A387" s="757" t="s">
        <v>41</v>
      </c>
      <c r="B387" s="757"/>
      <c r="C387" s="752" t="s">
        <v>27</v>
      </c>
      <c r="D387" s="753"/>
      <c r="E387" s="753"/>
      <c r="F387" s="753"/>
      <c r="G387" s="753"/>
      <c r="H387" s="753"/>
      <c r="I387" s="753"/>
      <c r="J387" s="754"/>
    </row>
    <row r="388" spans="1:11" x14ac:dyDescent="0.4">
      <c r="A388" s="159"/>
      <c r="B388" s="159"/>
      <c r="C388" s="159"/>
      <c r="D388" s="68"/>
      <c r="E388" s="68"/>
      <c r="F388" s="68"/>
      <c r="G388" s="68"/>
      <c r="H388" s="68"/>
      <c r="I388" s="68" t="s">
        <v>208</v>
      </c>
      <c r="J388" s="68"/>
    </row>
    <row r="389" spans="1:11" x14ac:dyDescent="0.4">
      <c r="A389" s="758" t="s">
        <v>285</v>
      </c>
      <c r="B389" s="759"/>
      <c r="C389" s="759"/>
      <c r="D389" s="758" t="s">
        <v>286</v>
      </c>
      <c r="E389" s="759"/>
      <c r="F389" s="759"/>
      <c r="G389" s="759"/>
      <c r="H389" s="760"/>
      <c r="I389" s="764" t="s">
        <v>209</v>
      </c>
      <c r="J389" s="765"/>
    </row>
    <row r="390" spans="1:11" x14ac:dyDescent="0.4">
      <c r="A390" s="758" t="s">
        <v>83</v>
      </c>
      <c r="B390" s="759"/>
      <c r="C390" s="760"/>
      <c r="D390" s="766" t="s">
        <v>297</v>
      </c>
      <c r="E390" s="758" t="s">
        <v>298</v>
      </c>
      <c r="F390" s="759"/>
      <c r="G390" s="760"/>
      <c r="H390" s="768" t="s">
        <v>299</v>
      </c>
      <c r="I390" s="761" t="s">
        <v>300</v>
      </c>
      <c r="J390" s="761" t="s">
        <v>301</v>
      </c>
    </row>
    <row r="391" spans="1:11" ht="78.75" x14ac:dyDescent="0.4">
      <c r="A391" s="160" t="s">
        <v>183</v>
      </c>
      <c r="B391" s="160" t="s">
        <v>182</v>
      </c>
      <c r="C391" s="130" t="s">
        <v>124</v>
      </c>
      <c r="D391" s="767"/>
      <c r="E391" s="160" t="s">
        <v>692</v>
      </c>
      <c r="F391" s="160" t="s">
        <v>693</v>
      </c>
      <c r="G391" s="160" t="s">
        <v>192</v>
      </c>
      <c r="H391" s="768"/>
      <c r="I391" s="762"/>
      <c r="J391" s="762"/>
    </row>
    <row r="392" spans="1:11" ht="52.5" x14ac:dyDescent="0.4">
      <c r="A392" s="189">
        <v>12</v>
      </c>
      <c r="B392" s="187" t="s">
        <v>485</v>
      </c>
      <c r="C392" s="29" t="s">
        <v>178</v>
      </c>
      <c r="D392" s="210">
        <v>602232.79262394761</v>
      </c>
      <c r="E392" s="249">
        <v>250930.35</v>
      </c>
      <c r="F392" s="168">
        <v>422031.92000000004</v>
      </c>
      <c r="G392" s="147">
        <f>E392+F392</f>
        <v>672962.27</v>
      </c>
      <c r="H392" s="132">
        <f>IFERROR(G392/D392*100-100,0)</f>
        <v>11.744541021733767</v>
      </c>
      <c r="I392" s="169"/>
      <c r="J392" s="170"/>
      <c r="K392" s="253"/>
    </row>
    <row r="393" spans="1:11" x14ac:dyDescent="0.4">
      <c r="A393" s="161" t="s">
        <v>0</v>
      </c>
      <c r="B393" s="161"/>
      <c r="C393" s="161"/>
      <c r="D393" s="120">
        <f>SUM(D392:D392)</f>
        <v>602232.79262394761</v>
      </c>
      <c r="E393" s="120">
        <f>SUM(E392:E392)</f>
        <v>250930.35</v>
      </c>
      <c r="F393" s="120">
        <f>SUM(F392:F392)</f>
        <v>422031.92000000004</v>
      </c>
      <c r="G393" s="120">
        <f>SUM(G392:G392)</f>
        <v>672962.27</v>
      </c>
      <c r="H393" s="120">
        <f t="shared" ref="H393" si="75">IFERROR(G393/D393*100-100,0)</f>
        <v>11.744541021733767</v>
      </c>
      <c r="I393" s="120">
        <f>SUM(I392:I392)</f>
        <v>0</v>
      </c>
      <c r="J393" s="120">
        <f t="shared" ref="J393" si="76">IFERROR(I393/G393*100,)</f>
        <v>0</v>
      </c>
    </row>
    <row r="394" spans="1:11" x14ac:dyDescent="0.4">
      <c r="A394" s="162"/>
      <c r="B394" s="162"/>
      <c r="C394" s="162"/>
      <c r="D394" s="162"/>
      <c r="E394" s="251"/>
      <c r="F394" s="251"/>
      <c r="G394" s="162"/>
      <c r="H394" s="162"/>
      <c r="I394" s="162"/>
      <c r="J394" s="162"/>
    </row>
    <row r="395" spans="1:11" x14ac:dyDescent="0.4">
      <c r="A395" s="755" t="s">
        <v>259</v>
      </c>
      <c r="B395" s="756"/>
      <c r="C395" s="163"/>
      <c r="D395" s="163"/>
      <c r="E395" s="163"/>
      <c r="F395" s="163"/>
      <c r="G395" s="163"/>
      <c r="H395" s="163"/>
      <c r="I395" s="163"/>
      <c r="J395" s="164"/>
    </row>
    <row r="396" spans="1:11" x14ac:dyDescent="0.4">
      <c r="A396" s="165"/>
      <c r="B396" s="166"/>
      <c r="C396" s="166"/>
      <c r="D396" s="166"/>
      <c r="E396" s="166"/>
      <c r="F396" s="166"/>
      <c r="G396" s="166"/>
      <c r="H396" s="166"/>
      <c r="I396" s="166"/>
      <c r="J396" s="167"/>
    </row>
    <row r="398" spans="1:11" ht="28.5" x14ac:dyDescent="0.4">
      <c r="A398" s="763" t="s">
        <v>77</v>
      </c>
      <c r="B398" s="757"/>
      <c r="C398" s="752" t="s">
        <v>486</v>
      </c>
      <c r="D398" s="753"/>
      <c r="E398" s="753"/>
      <c r="F398" s="753"/>
      <c r="G398" s="753"/>
      <c r="H398" s="753"/>
      <c r="I398" s="753"/>
      <c r="J398" s="754"/>
    </row>
    <row r="399" spans="1:11" ht="28.5" x14ac:dyDescent="0.4">
      <c r="A399" s="757" t="s">
        <v>41</v>
      </c>
      <c r="B399" s="757"/>
      <c r="C399" s="752" t="s">
        <v>129</v>
      </c>
      <c r="D399" s="753"/>
      <c r="E399" s="753"/>
      <c r="F399" s="753"/>
      <c r="G399" s="753"/>
      <c r="H399" s="753"/>
      <c r="I399" s="753"/>
      <c r="J399" s="754"/>
    </row>
    <row r="400" spans="1:11" x14ac:dyDescent="0.4">
      <c r="A400" s="159"/>
      <c r="B400" s="159"/>
      <c r="C400" s="159"/>
      <c r="D400" s="68"/>
      <c r="E400" s="68"/>
      <c r="F400" s="68"/>
      <c r="G400" s="68"/>
      <c r="H400" s="68"/>
      <c r="I400" s="68" t="s">
        <v>208</v>
      </c>
      <c r="J400" s="68"/>
    </row>
    <row r="401" spans="1:11" x14ac:dyDescent="0.4">
      <c r="A401" s="758" t="s">
        <v>285</v>
      </c>
      <c r="B401" s="759"/>
      <c r="C401" s="759"/>
      <c r="D401" s="758" t="s">
        <v>286</v>
      </c>
      <c r="E401" s="759"/>
      <c r="F401" s="759"/>
      <c r="G401" s="759"/>
      <c r="H401" s="760"/>
      <c r="I401" s="764" t="s">
        <v>209</v>
      </c>
      <c r="J401" s="765"/>
    </row>
    <row r="402" spans="1:11" x14ac:dyDescent="0.4">
      <c r="A402" s="758" t="s">
        <v>83</v>
      </c>
      <c r="B402" s="759"/>
      <c r="C402" s="760"/>
      <c r="D402" s="766" t="s">
        <v>297</v>
      </c>
      <c r="E402" s="758" t="s">
        <v>298</v>
      </c>
      <c r="F402" s="759"/>
      <c r="G402" s="760"/>
      <c r="H402" s="768" t="s">
        <v>299</v>
      </c>
      <c r="I402" s="761" t="s">
        <v>300</v>
      </c>
      <c r="J402" s="761" t="s">
        <v>301</v>
      </c>
    </row>
    <row r="403" spans="1:11" ht="78.75" x14ac:dyDescent="0.4">
      <c r="A403" s="160" t="s">
        <v>183</v>
      </c>
      <c r="B403" s="160" t="s">
        <v>182</v>
      </c>
      <c r="C403" s="130" t="s">
        <v>124</v>
      </c>
      <c r="D403" s="767"/>
      <c r="E403" s="160" t="s">
        <v>692</v>
      </c>
      <c r="F403" s="160" t="s">
        <v>693</v>
      </c>
      <c r="G403" s="160" t="s">
        <v>192</v>
      </c>
      <c r="H403" s="768"/>
      <c r="I403" s="762"/>
      <c r="J403" s="762"/>
    </row>
    <row r="404" spans="1:11" ht="78.75" x14ac:dyDescent="0.4">
      <c r="A404" s="189">
        <v>12</v>
      </c>
      <c r="B404" s="187" t="s">
        <v>487</v>
      </c>
      <c r="C404" s="29" t="s">
        <v>178</v>
      </c>
      <c r="D404" s="210">
        <v>72916.078030702178</v>
      </c>
      <c r="E404" s="249">
        <v>30381.7</v>
      </c>
      <c r="F404" s="168">
        <v>71203.89</v>
      </c>
      <c r="G404" s="147">
        <f>E404+F404</f>
        <v>101585.59</v>
      </c>
      <c r="H404" s="132">
        <f>IFERROR(G404/D404*100-100,0)</f>
        <v>39.318505250962886</v>
      </c>
      <c r="I404" s="169"/>
      <c r="J404" s="170"/>
      <c r="K404" s="253"/>
    </row>
    <row r="405" spans="1:11" x14ac:dyDescent="0.4">
      <c r="A405" s="161" t="s">
        <v>0</v>
      </c>
      <c r="B405" s="161"/>
      <c r="C405" s="161"/>
      <c r="D405" s="120">
        <f>SUM(D404:D404)</f>
        <v>72916.078030702178</v>
      </c>
      <c r="E405" s="120">
        <f>SUM(E404:E404)</f>
        <v>30381.7</v>
      </c>
      <c r="F405" s="120">
        <f>SUM(F404:F404)</f>
        <v>71203.89</v>
      </c>
      <c r="G405" s="120">
        <f>SUM(G404:G404)</f>
        <v>101585.59</v>
      </c>
      <c r="H405" s="120">
        <f t="shared" ref="H405" si="77">IFERROR(G405/D405*100-100,0)</f>
        <v>39.318505250962886</v>
      </c>
      <c r="I405" s="120">
        <f>SUM(I404:I404)</f>
        <v>0</v>
      </c>
      <c r="J405" s="120">
        <f t="shared" ref="J405" si="78">IFERROR(I405/G405*100,)</f>
        <v>0</v>
      </c>
    </row>
    <row r="406" spans="1:11" x14ac:dyDescent="0.4">
      <c r="A406" s="162"/>
      <c r="B406" s="162"/>
      <c r="C406" s="162"/>
      <c r="D406" s="162"/>
      <c r="E406" s="251"/>
      <c r="F406" s="251"/>
      <c r="G406" s="162"/>
      <c r="H406" s="162"/>
      <c r="I406" s="162"/>
      <c r="J406" s="162"/>
    </row>
    <row r="407" spans="1:11" x14ac:dyDescent="0.4">
      <c r="A407" s="755" t="s">
        <v>259</v>
      </c>
      <c r="B407" s="756"/>
      <c r="C407" s="163"/>
      <c r="D407" s="163"/>
      <c r="E407" s="163"/>
      <c r="F407" s="163"/>
      <c r="G407" s="163"/>
      <c r="H407" s="163"/>
      <c r="I407" s="163"/>
      <c r="J407" s="164"/>
    </row>
    <row r="408" spans="1:11" x14ac:dyDescent="0.4">
      <c r="A408" s="165"/>
      <c r="B408" s="166"/>
      <c r="C408" s="166"/>
      <c r="D408" s="166"/>
      <c r="E408" s="166"/>
      <c r="F408" s="166"/>
      <c r="G408" s="166"/>
      <c r="H408" s="166"/>
      <c r="I408" s="166"/>
      <c r="J408" s="167"/>
    </row>
    <row r="410" spans="1:11" ht="28.5" x14ac:dyDescent="0.4">
      <c r="A410" s="763" t="s">
        <v>77</v>
      </c>
      <c r="B410" s="757"/>
      <c r="C410" s="752" t="s">
        <v>488</v>
      </c>
      <c r="D410" s="753"/>
      <c r="E410" s="753"/>
      <c r="F410" s="753"/>
      <c r="G410" s="753"/>
      <c r="H410" s="753"/>
      <c r="I410" s="753"/>
      <c r="J410" s="754"/>
    </row>
    <row r="411" spans="1:11" ht="28.5" x14ac:dyDescent="0.4">
      <c r="A411" s="757" t="s">
        <v>41</v>
      </c>
      <c r="B411" s="757"/>
      <c r="C411" s="752" t="s">
        <v>35</v>
      </c>
      <c r="D411" s="753"/>
      <c r="E411" s="753"/>
      <c r="F411" s="753"/>
      <c r="G411" s="753"/>
      <c r="H411" s="753"/>
      <c r="I411" s="753"/>
      <c r="J411" s="754"/>
    </row>
    <row r="412" spans="1:11" x14ac:dyDescent="0.4">
      <c r="A412" s="159"/>
      <c r="B412" s="159"/>
      <c r="C412" s="159"/>
      <c r="D412" s="68"/>
      <c r="E412" s="68"/>
      <c r="F412" s="68"/>
      <c r="G412" s="68"/>
      <c r="H412" s="68"/>
      <c r="I412" s="68" t="s">
        <v>208</v>
      </c>
      <c r="J412" s="68"/>
    </row>
    <row r="413" spans="1:11" x14ac:dyDescent="0.4">
      <c r="A413" s="758" t="s">
        <v>285</v>
      </c>
      <c r="B413" s="759"/>
      <c r="C413" s="759"/>
      <c r="D413" s="758" t="s">
        <v>286</v>
      </c>
      <c r="E413" s="759"/>
      <c r="F413" s="759"/>
      <c r="G413" s="759"/>
      <c r="H413" s="760"/>
      <c r="I413" s="764" t="s">
        <v>209</v>
      </c>
      <c r="J413" s="765"/>
    </row>
    <row r="414" spans="1:11" x14ac:dyDescent="0.4">
      <c r="A414" s="758" t="s">
        <v>83</v>
      </c>
      <c r="B414" s="759"/>
      <c r="C414" s="760"/>
      <c r="D414" s="766" t="s">
        <v>297</v>
      </c>
      <c r="E414" s="758" t="s">
        <v>298</v>
      </c>
      <c r="F414" s="759"/>
      <c r="G414" s="760"/>
      <c r="H414" s="768" t="s">
        <v>299</v>
      </c>
      <c r="I414" s="761" t="s">
        <v>300</v>
      </c>
      <c r="J414" s="761" t="s">
        <v>301</v>
      </c>
    </row>
    <row r="415" spans="1:11" ht="78.75" x14ac:dyDescent="0.4">
      <c r="A415" s="160" t="s">
        <v>183</v>
      </c>
      <c r="B415" s="160" t="s">
        <v>182</v>
      </c>
      <c r="C415" s="130" t="s">
        <v>124</v>
      </c>
      <c r="D415" s="767"/>
      <c r="E415" s="160" t="s">
        <v>692</v>
      </c>
      <c r="F415" s="160" t="s">
        <v>693</v>
      </c>
      <c r="G415" s="160" t="s">
        <v>192</v>
      </c>
      <c r="H415" s="768"/>
      <c r="I415" s="762"/>
      <c r="J415" s="762"/>
    </row>
    <row r="416" spans="1:11" ht="52.5" x14ac:dyDescent="0.4">
      <c r="A416" s="190">
        <v>1</v>
      </c>
      <c r="B416" s="187" t="s">
        <v>489</v>
      </c>
      <c r="C416" s="29" t="s">
        <v>178</v>
      </c>
      <c r="D416" s="175">
        <v>80000</v>
      </c>
      <c r="E416" s="208">
        <v>0</v>
      </c>
      <c r="F416" s="168">
        <v>80000</v>
      </c>
      <c r="G416" s="147">
        <f>E416+F416</f>
        <v>80000</v>
      </c>
      <c r="H416" s="132">
        <f>IFERROR(G416/D416*100-100,0)</f>
        <v>0</v>
      </c>
      <c r="I416" s="169"/>
      <c r="J416" s="170"/>
    </row>
    <row r="417" spans="1:11" x14ac:dyDescent="0.4">
      <c r="A417" s="161" t="s">
        <v>0</v>
      </c>
      <c r="B417" s="161"/>
      <c r="C417" s="161"/>
      <c r="D417" s="120">
        <f>SUM(D416:D416)</f>
        <v>80000</v>
      </c>
      <c r="E417" s="120">
        <f>SUM(E416:E416)</f>
        <v>0</v>
      </c>
      <c r="F417" s="120">
        <f>SUM(F416:F416)</f>
        <v>80000</v>
      </c>
      <c r="G417" s="120">
        <f>SUM(G416:G416)</f>
        <v>80000</v>
      </c>
      <c r="H417" s="120">
        <f t="shared" ref="H417" si="79">IFERROR(G417/D417*100-100,0)</f>
        <v>0</v>
      </c>
      <c r="I417" s="120">
        <f>SUM(I416:I416)</f>
        <v>0</v>
      </c>
      <c r="J417" s="120">
        <f t="shared" ref="J417" si="80">IFERROR(I417/G417*100,)</f>
        <v>0</v>
      </c>
    </row>
    <row r="418" spans="1:11" x14ac:dyDescent="0.4">
      <c r="A418" s="162"/>
      <c r="B418" s="162"/>
      <c r="C418" s="162"/>
      <c r="D418" s="224"/>
      <c r="E418" s="224"/>
      <c r="F418" s="224"/>
      <c r="G418" s="162"/>
      <c r="H418" s="162"/>
      <c r="I418" s="162"/>
      <c r="J418" s="162"/>
    </row>
    <row r="419" spans="1:11" x14ac:dyDescent="0.4">
      <c r="A419" s="755" t="s">
        <v>259</v>
      </c>
      <c r="B419" s="756"/>
      <c r="C419" s="163"/>
      <c r="D419" s="163"/>
      <c r="E419" s="163"/>
      <c r="F419" s="163"/>
      <c r="G419" s="163"/>
      <c r="H419" s="163"/>
      <c r="I419" s="163"/>
      <c r="J419" s="164"/>
    </row>
    <row r="420" spans="1:11" x14ac:dyDescent="0.4">
      <c r="A420" s="165"/>
      <c r="B420" s="166"/>
      <c r="C420" s="166"/>
      <c r="D420" s="166"/>
      <c r="E420" s="166"/>
      <c r="F420" s="166"/>
      <c r="G420" s="166"/>
      <c r="H420" s="166"/>
      <c r="I420" s="166"/>
      <c r="J420" s="167"/>
    </row>
    <row r="423" spans="1:11" ht="28.5" x14ac:dyDescent="0.4">
      <c r="A423" s="763" t="s">
        <v>77</v>
      </c>
      <c r="B423" s="757"/>
      <c r="C423" s="752" t="s">
        <v>490</v>
      </c>
      <c r="D423" s="753"/>
      <c r="E423" s="753"/>
      <c r="F423" s="753"/>
      <c r="G423" s="753"/>
      <c r="H423" s="753"/>
      <c r="I423" s="753"/>
      <c r="J423" s="754"/>
    </row>
    <row r="424" spans="1:11" ht="28.5" x14ac:dyDescent="0.4">
      <c r="A424" s="757" t="s">
        <v>41</v>
      </c>
      <c r="B424" s="757"/>
      <c r="C424" s="752" t="s">
        <v>36</v>
      </c>
      <c r="D424" s="753"/>
      <c r="E424" s="753"/>
      <c r="F424" s="753"/>
      <c r="G424" s="753"/>
      <c r="H424" s="753"/>
      <c r="I424" s="753"/>
      <c r="J424" s="754"/>
    </row>
    <row r="425" spans="1:11" x14ac:dyDescent="0.4">
      <c r="A425" s="159"/>
      <c r="B425" s="159"/>
      <c r="C425" s="159"/>
      <c r="D425" s="68"/>
      <c r="E425" s="68"/>
      <c r="F425" s="68"/>
      <c r="G425" s="68"/>
      <c r="H425" s="68"/>
      <c r="I425" s="68" t="s">
        <v>208</v>
      </c>
      <c r="J425" s="68"/>
    </row>
    <row r="426" spans="1:11" x14ac:dyDescent="0.4">
      <c r="A426" s="758" t="s">
        <v>285</v>
      </c>
      <c r="B426" s="759"/>
      <c r="C426" s="759"/>
      <c r="D426" s="758" t="s">
        <v>286</v>
      </c>
      <c r="E426" s="759"/>
      <c r="F426" s="759"/>
      <c r="G426" s="759"/>
      <c r="H426" s="760"/>
      <c r="I426" s="764" t="s">
        <v>209</v>
      </c>
      <c r="J426" s="765"/>
    </row>
    <row r="427" spans="1:11" x14ac:dyDescent="0.4">
      <c r="A427" s="758" t="s">
        <v>83</v>
      </c>
      <c r="B427" s="759"/>
      <c r="C427" s="760"/>
      <c r="D427" s="766" t="s">
        <v>297</v>
      </c>
      <c r="E427" s="758" t="s">
        <v>298</v>
      </c>
      <c r="F427" s="759"/>
      <c r="G427" s="760"/>
      <c r="H427" s="768" t="s">
        <v>299</v>
      </c>
      <c r="I427" s="761" t="s">
        <v>300</v>
      </c>
      <c r="J427" s="761" t="s">
        <v>301</v>
      </c>
    </row>
    <row r="428" spans="1:11" ht="78.75" x14ac:dyDescent="0.4">
      <c r="A428" s="160" t="s">
        <v>183</v>
      </c>
      <c r="B428" s="160" t="s">
        <v>182</v>
      </c>
      <c r="C428" s="130" t="s">
        <v>124</v>
      </c>
      <c r="D428" s="767"/>
      <c r="E428" s="160" t="s">
        <v>692</v>
      </c>
      <c r="F428" s="160" t="s">
        <v>693</v>
      </c>
      <c r="G428" s="160" t="s">
        <v>192</v>
      </c>
      <c r="H428" s="768"/>
      <c r="I428" s="762"/>
      <c r="J428" s="762"/>
    </row>
    <row r="429" spans="1:11" ht="210" x14ac:dyDescent="0.4">
      <c r="A429" s="190">
        <v>1</v>
      </c>
      <c r="B429" s="172" t="s">
        <v>491</v>
      </c>
      <c r="C429" s="29" t="s">
        <v>178</v>
      </c>
      <c r="D429" s="175">
        <v>519619.79</v>
      </c>
      <c r="E429" s="249">
        <v>89110.37000000001</v>
      </c>
      <c r="F429" s="168">
        <v>234919.05867027777</v>
      </c>
      <c r="G429" s="147">
        <f>E429+F429</f>
        <v>324029.42867027776</v>
      </c>
      <c r="H429" s="132">
        <f>IFERROR(G429/D429*100-100,0)</f>
        <v>-37.641053149596594</v>
      </c>
      <c r="I429" s="169"/>
      <c r="J429" s="170">
        <f t="shared" ref="J429:J442" si="81">IFERROR(I429/G429*100,)</f>
        <v>0</v>
      </c>
      <c r="K429" s="205"/>
    </row>
    <row r="430" spans="1:11" ht="105" x14ac:dyDescent="0.4">
      <c r="A430" s="190">
        <v>1</v>
      </c>
      <c r="B430" s="173" t="s">
        <v>492</v>
      </c>
      <c r="C430" s="29" t="s">
        <v>178</v>
      </c>
      <c r="D430" s="175">
        <v>5418.16</v>
      </c>
      <c r="E430" s="131"/>
      <c r="F430" s="131">
        <v>5418.16</v>
      </c>
      <c r="G430" s="147">
        <f t="shared" ref="G430:G442" si="82">E430+F430</f>
        <v>5418.16</v>
      </c>
      <c r="H430" s="132">
        <f t="shared" ref="H430:H442" si="83">IFERROR(G430/D430*100-100,0)</f>
        <v>0</v>
      </c>
      <c r="I430" s="133"/>
      <c r="J430" s="170">
        <f t="shared" si="81"/>
        <v>0</v>
      </c>
    </row>
    <row r="431" spans="1:11" ht="183.75" x14ac:dyDescent="0.4">
      <c r="A431" s="188">
        <v>1</v>
      </c>
      <c r="B431" s="173" t="s">
        <v>493</v>
      </c>
      <c r="C431" s="29" t="s">
        <v>178</v>
      </c>
      <c r="D431" s="175">
        <v>3469.41</v>
      </c>
      <c r="E431" s="131"/>
      <c r="F431" s="131">
        <v>3469.41</v>
      </c>
      <c r="G431" s="147">
        <f t="shared" si="82"/>
        <v>3469.41</v>
      </c>
      <c r="H431" s="132">
        <f t="shared" si="83"/>
        <v>0</v>
      </c>
      <c r="I431" s="133"/>
      <c r="J431" s="170">
        <f t="shared" si="81"/>
        <v>0</v>
      </c>
    </row>
    <row r="432" spans="1:11" ht="183.75" x14ac:dyDescent="0.4">
      <c r="A432" s="188">
        <v>1</v>
      </c>
      <c r="B432" s="173" t="s">
        <v>494</v>
      </c>
      <c r="C432" s="29" t="s">
        <v>178</v>
      </c>
      <c r="D432" s="175">
        <v>6422.43</v>
      </c>
      <c r="E432" s="131"/>
      <c r="F432" s="131">
        <v>6422.43</v>
      </c>
      <c r="G432" s="147">
        <f t="shared" si="82"/>
        <v>6422.43</v>
      </c>
      <c r="H432" s="132">
        <f t="shared" si="83"/>
        <v>0</v>
      </c>
      <c r="I432" s="133"/>
      <c r="J432" s="170">
        <f t="shared" si="81"/>
        <v>0</v>
      </c>
    </row>
    <row r="433" spans="1:11" ht="262.5" x14ac:dyDescent="0.4">
      <c r="A433" s="188">
        <v>1</v>
      </c>
      <c r="B433" s="191" t="s">
        <v>495</v>
      </c>
      <c r="C433" s="29" t="s">
        <v>178</v>
      </c>
      <c r="D433" s="175"/>
      <c r="E433" s="131"/>
      <c r="F433" s="131"/>
      <c r="G433" s="147">
        <f t="shared" si="82"/>
        <v>0</v>
      </c>
      <c r="H433" s="132">
        <f t="shared" si="83"/>
        <v>0</v>
      </c>
      <c r="I433" s="133"/>
      <c r="J433" s="170">
        <f t="shared" si="81"/>
        <v>0</v>
      </c>
    </row>
    <row r="434" spans="1:11" ht="131.25" x14ac:dyDescent="0.4">
      <c r="A434" s="188">
        <v>1</v>
      </c>
      <c r="B434" s="173" t="s">
        <v>496</v>
      </c>
      <c r="C434" s="29" t="s">
        <v>178</v>
      </c>
      <c r="D434" s="175"/>
      <c r="E434" s="131"/>
      <c r="F434" s="131"/>
      <c r="G434" s="147">
        <f t="shared" si="82"/>
        <v>0</v>
      </c>
      <c r="H434" s="132">
        <f t="shared" si="83"/>
        <v>0</v>
      </c>
      <c r="I434" s="133"/>
      <c r="J434" s="170">
        <f t="shared" si="81"/>
        <v>0</v>
      </c>
    </row>
    <row r="435" spans="1:11" ht="52.5" x14ac:dyDescent="0.4">
      <c r="A435" s="188">
        <v>1</v>
      </c>
      <c r="B435" s="172" t="s">
        <v>497</v>
      </c>
      <c r="C435" s="29" t="s">
        <v>178</v>
      </c>
      <c r="D435" s="175"/>
      <c r="E435" s="131"/>
      <c r="F435" s="168">
        <v>20000</v>
      </c>
      <c r="G435" s="147">
        <f t="shared" si="82"/>
        <v>20000</v>
      </c>
      <c r="H435" s="132">
        <f t="shared" si="83"/>
        <v>0</v>
      </c>
      <c r="I435" s="133"/>
      <c r="J435" s="170">
        <f t="shared" si="81"/>
        <v>0</v>
      </c>
    </row>
    <row r="436" spans="1:11" x14ac:dyDescent="0.4">
      <c r="A436" s="188">
        <v>1</v>
      </c>
      <c r="B436" s="172" t="s">
        <v>498</v>
      </c>
      <c r="C436" s="29" t="s">
        <v>178</v>
      </c>
      <c r="D436" s="175"/>
      <c r="E436" s="131"/>
      <c r="F436" s="131"/>
      <c r="G436" s="147">
        <f t="shared" si="82"/>
        <v>0</v>
      </c>
      <c r="H436" s="132">
        <f t="shared" si="83"/>
        <v>0</v>
      </c>
      <c r="I436" s="133"/>
      <c r="J436" s="170">
        <f t="shared" si="81"/>
        <v>0</v>
      </c>
    </row>
    <row r="437" spans="1:11" ht="52.5" x14ac:dyDescent="0.4">
      <c r="A437" s="188">
        <v>1</v>
      </c>
      <c r="B437" s="172" t="s">
        <v>499</v>
      </c>
      <c r="C437" s="29" t="s">
        <v>178</v>
      </c>
      <c r="D437" s="175"/>
      <c r="E437" s="131"/>
      <c r="F437" s="131"/>
      <c r="G437" s="147">
        <f t="shared" si="82"/>
        <v>0</v>
      </c>
      <c r="H437" s="132">
        <f t="shared" si="83"/>
        <v>0</v>
      </c>
      <c r="I437" s="133"/>
      <c r="J437" s="170">
        <f t="shared" si="81"/>
        <v>0</v>
      </c>
    </row>
    <row r="438" spans="1:11" ht="96" customHeight="1" x14ac:dyDescent="0.4">
      <c r="A438" s="188">
        <v>1</v>
      </c>
      <c r="B438" s="172" t="s">
        <v>500</v>
      </c>
      <c r="C438" s="29" t="s">
        <v>141</v>
      </c>
      <c r="D438" s="175"/>
      <c r="E438" s="131"/>
      <c r="F438" s="131"/>
      <c r="G438" s="147">
        <f t="shared" si="82"/>
        <v>0</v>
      </c>
      <c r="H438" s="132">
        <f t="shared" si="83"/>
        <v>0</v>
      </c>
      <c r="I438" s="133"/>
      <c r="J438" s="170">
        <f t="shared" si="81"/>
        <v>0</v>
      </c>
    </row>
    <row r="439" spans="1:11" ht="52.5" x14ac:dyDescent="0.4">
      <c r="A439" s="188">
        <v>1</v>
      </c>
      <c r="B439" s="172" t="s">
        <v>501</v>
      </c>
      <c r="C439" s="29" t="s">
        <v>178</v>
      </c>
      <c r="D439" s="175"/>
      <c r="E439" s="131"/>
      <c r="F439" s="131"/>
      <c r="G439" s="147">
        <f t="shared" si="82"/>
        <v>0</v>
      </c>
      <c r="H439" s="132">
        <f t="shared" si="83"/>
        <v>0</v>
      </c>
      <c r="I439" s="133"/>
      <c r="J439" s="170">
        <f t="shared" si="81"/>
        <v>0</v>
      </c>
    </row>
    <row r="440" spans="1:11" ht="52.5" x14ac:dyDescent="0.4">
      <c r="A440" s="188">
        <v>1</v>
      </c>
      <c r="B440" s="172" t="s">
        <v>502</v>
      </c>
      <c r="C440" s="29" t="s">
        <v>178</v>
      </c>
      <c r="D440" s="175"/>
      <c r="E440" s="131"/>
      <c r="F440" s="131"/>
      <c r="G440" s="147">
        <f t="shared" si="82"/>
        <v>0</v>
      </c>
      <c r="H440" s="132">
        <f t="shared" si="83"/>
        <v>0</v>
      </c>
      <c r="I440" s="133"/>
      <c r="J440" s="170">
        <f t="shared" si="81"/>
        <v>0</v>
      </c>
    </row>
    <row r="441" spans="1:11" ht="78.75" x14ac:dyDescent="0.4">
      <c r="A441" s="188">
        <v>1</v>
      </c>
      <c r="B441" s="172" t="s">
        <v>503</v>
      </c>
      <c r="C441" s="29" t="s">
        <v>178</v>
      </c>
      <c r="D441" s="175"/>
      <c r="E441" s="131"/>
      <c r="F441" s="131"/>
      <c r="G441" s="147">
        <f t="shared" si="82"/>
        <v>0</v>
      </c>
      <c r="H441" s="132">
        <f t="shared" si="83"/>
        <v>0</v>
      </c>
      <c r="I441" s="133"/>
      <c r="J441" s="170">
        <f t="shared" si="81"/>
        <v>0</v>
      </c>
    </row>
    <row r="442" spans="1:11" ht="78.75" x14ac:dyDescent="0.4">
      <c r="A442" s="188">
        <v>1</v>
      </c>
      <c r="B442" s="172" t="s">
        <v>504</v>
      </c>
      <c r="C442" s="29" t="s">
        <v>138</v>
      </c>
      <c r="D442" s="175"/>
      <c r="E442" s="131"/>
      <c r="F442" s="131"/>
      <c r="G442" s="147">
        <f t="shared" si="82"/>
        <v>0</v>
      </c>
      <c r="H442" s="132">
        <f t="shared" si="83"/>
        <v>0</v>
      </c>
      <c r="I442" s="133"/>
      <c r="J442" s="170">
        <f t="shared" si="81"/>
        <v>0</v>
      </c>
    </row>
    <row r="443" spans="1:11" x14ac:dyDescent="0.4">
      <c r="A443" s="161" t="s">
        <v>0</v>
      </c>
      <c r="B443" s="161"/>
      <c r="C443" s="161"/>
      <c r="D443" s="120">
        <f>SUM(D429:D442)</f>
        <v>534929.79</v>
      </c>
      <c r="E443" s="120">
        <f>SUM(E429:E442)</f>
        <v>89110.37000000001</v>
      </c>
      <c r="F443" s="120">
        <f>SUM(F429:F442)</f>
        <v>270229.05867027777</v>
      </c>
      <c r="G443" s="120">
        <f>SUM(G429:G442)</f>
        <v>359339.4286702777</v>
      </c>
      <c r="H443" s="120">
        <f t="shared" ref="H443" si="84">IFERROR(G443/D443*100-100,0)</f>
        <v>-32.824936021925851</v>
      </c>
      <c r="I443" s="120">
        <f>SUM(I429:I442)</f>
        <v>0</v>
      </c>
      <c r="J443" s="120">
        <f t="shared" ref="J443" si="85">IFERROR(I443/G443*100,)</f>
        <v>0</v>
      </c>
    </row>
    <row r="444" spans="1:11" x14ac:dyDescent="0.4">
      <c r="A444" s="162"/>
      <c r="B444" s="162"/>
      <c r="C444" s="162"/>
      <c r="D444" s="224"/>
      <c r="E444" s="224"/>
      <c r="F444" s="224"/>
      <c r="G444" s="162"/>
      <c r="H444" s="162"/>
      <c r="I444" s="162"/>
      <c r="J444" s="162"/>
      <c r="K444" s="205"/>
    </row>
    <row r="445" spans="1:11" x14ac:dyDescent="0.4">
      <c r="A445" s="755" t="s">
        <v>259</v>
      </c>
      <c r="B445" s="756"/>
      <c r="C445" s="163"/>
      <c r="D445" s="163"/>
      <c r="E445" s="163"/>
      <c r="F445" s="163"/>
      <c r="G445" s="163"/>
      <c r="H445" s="163"/>
      <c r="I445" s="163"/>
      <c r="J445" s="164"/>
    </row>
    <row r="446" spans="1:11" x14ac:dyDescent="0.4">
      <c r="A446" s="165"/>
      <c r="B446" s="166"/>
      <c r="C446" s="166"/>
      <c r="D446" s="166"/>
      <c r="E446" s="166"/>
      <c r="F446" s="166"/>
      <c r="G446" s="166"/>
      <c r="H446" s="166"/>
      <c r="I446" s="166"/>
      <c r="J446" s="167"/>
    </row>
    <row r="448" spans="1:11" ht="28.5" x14ac:dyDescent="0.4">
      <c r="A448" s="763" t="s">
        <v>77</v>
      </c>
      <c r="B448" s="757"/>
      <c r="C448" s="752" t="s">
        <v>505</v>
      </c>
      <c r="D448" s="753"/>
      <c r="E448" s="753"/>
      <c r="F448" s="753"/>
      <c r="G448" s="753"/>
      <c r="H448" s="753"/>
      <c r="I448" s="753"/>
      <c r="J448" s="754"/>
    </row>
    <row r="449" spans="1:12" ht="28.5" x14ac:dyDescent="0.4">
      <c r="A449" s="757" t="s">
        <v>41</v>
      </c>
      <c r="B449" s="757"/>
      <c r="C449" s="752" t="s">
        <v>29</v>
      </c>
      <c r="D449" s="753"/>
      <c r="E449" s="753"/>
      <c r="F449" s="753"/>
      <c r="G449" s="753"/>
      <c r="H449" s="753"/>
      <c r="I449" s="753"/>
      <c r="J449" s="754"/>
    </row>
    <row r="450" spans="1:12" x14ac:dyDescent="0.4">
      <c r="A450" s="159"/>
      <c r="B450" s="159"/>
      <c r="C450" s="159"/>
      <c r="D450" s="68"/>
      <c r="E450" s="68"/>
      <c r="F450" s="68"/>
      <c r="G450" s="68"/>
      <c r="H450" s="68"/>
      <c r="I450" s="68" t="s">
        <v>208</v>
      </c>
      <c r="J450" s="68"/>
    </row>
    <row r="451" spans="1:12" x14ac:dyDescent="0.4">
      <c r="A451" s="758" t="s">
        <v>285</v>
      </c>
      <c r="B451" s="759"/>
      <c r="C451" s="759"/>
      <c r="D451" s="758" t="s">
        <v>286</v>
      </c>
      <c r="E451" s="759"/>
      <c r="F451" s="759"/>
      <c r="G451" s="759"/>
      <c r="H451" s="760"/>
      <c r="I451" s="764" t="s">
        <v>209</v>
      </c>
      <c r="J451" s="765"/>
    </row>
    <row r="452" spans="1:12" x14ac:dyDescent="0.4">
      <c r="A452" s="758" t="s">
        <v>83</v>
      </c>
      <c r="B452" s="759"/>
      <c r="C452" s="760"/>
      <c r="D452" s="766" t="s">
        <v>297</v>
      </c>
      <c r="E452" s="758" t="s">
        <v>298</v>
      </c>
      <c r="F452" s="759"/>
      <c r="G452" s="760"/>
      <c r="H452" s="768" t="s">
        <v>299</v>
      </c>
      <c r="I452" s="761" t="s">
        <v>300</v>
      </c>
      <c r="J452" s="761" t="s">
        <v>301</v>
      </c>
    </row>
    <row r="453" spans="1:12" ht="78.75" x14ac:dyDescent="0.4">
      <c r="A453" s="160" t="s">
        <v>183</v>
      </c>
      <c r="B453" s="160" t="s">
        <v>182</v>
      </c>
      <c r="C453" s="130" t="s">
        <v>124</v>
      </c>
      <c r="D453" s="767"/>
      <c r="E453" s="160" t="s">
        <v>692</v>
      </c>
      <c r="F453" s="160" t="s">
        <v>693</v>
      </c>
      <c r="G453" s="160" t="s">
        <v>192</v>
      </c>
      <c r="H453" s="768"/>
      <c r="I453" s="762"/>
      <c r="J453" s="762"/>
    </row>
    <row r="454" spans="1:12" ht="52.5" x14ac:dyDescent="0.4">
      <c r="A454" s="190">
        <v>1</v>
      </c>
      <c r="B454" s="29" t="s">
        <v>506</v>
      </c>
      <c r="C454" s="29" t="s">
        <v>178</v>
      </c>
      <c r="D454" s="175">
        <v>2906.48</v>
      </c>
      <c r="E454" s="168"/>
      <c r="F454" s="249">
        <v>2906.48</v>
      </c>
      <c r="G454" s="147">
        <f>E454+F454</f>
        <v>2906.48</v>
      </c>
      <c r="H454" s="132">
        <f>IFERROR(G454/D454*100-100,0)</f>
        <v>0</v>
      </c>
      <c r="I454" s="169"/>
      <c r="J454" s="170">
        <f t="shared" ref="J454:J461" si="86">IFERROR(I454/G454*100,)</f>
        <v>0</v>
      </c>
    </row>
    <row r="455" spans="1:12" ht="52.5" x14ac:dyDescent="0.4">
      <c r="A455" s="190">
        <v>1</v>
      </c>
      <c r="B455" s="29" t="s">
        <v>507</v>
      </c>
      <c r="C455" s="29" t="s">
        <v>178</v>
      </c>
      <c r="D455" s="175">
        <v>5000.08</v>
      </c>
      <c r="E455" s="207"/>
      <c r="F455" s="247">
        <v>5000.08</v>
      </c>
      <c r="G455" s="147">
        <f>E455+F455</f>
        <v>5000.08</v>
      </c>
      <c r="H455" s="132">
        <f>IFERROR(G455/D455*100-100,0)</f>
        <v>0</v>
      </c>
      <c r="I455" s="133"/>
      <c r="J455" s="148">
        <f t="shared" si="86"/>
        <v>0</v>
      </c>
    </row>
    <row r="456" spans="1:12" ht="105" x14ac:dyDescent="0.4">
      <c r="A456" s="190">
        <v>1</v>
      </c>
      <c r="B456" s="29" t="s">
        <v>508</v>
      </c>
      <c r="C456" s="29" t="s">
        <v>178</v>
      </c>
      <c r="D456" s="175">
        <v>43125.61</v>
      </c>
      <c r="E456" s="131"/>
      <c r="F456" s="247">
        <v>25000</v>
      </c>
      <c r="G456" s="147">
        <f t="shared" ref="G456:G461" si="87">E456+F456</f>
        <v>25000</v>
      </c>
      <c r="H456" s="132">
        <f t="shared" ref="H456:H461" si="88">IFERROR(G456/D456*100-100,0)</f>
        <v>-42.029805491446957</v>
      </c>
      <c r="I456" s="133"/>
      <c r="J456" s="148">
        <f t="shared" si="86"/>
        <v>0</v>
      </c>
    </row>
    <row r="457" spans="1:12" ht="52.5" x14ac:dyDescent="0.4">
      <c r="A457" s="190">
        <v>1</v>
      </c>
      <c r="B457" s="29" t="s">
        <v>509</v>
      </c>
      <c r="C457" s="29" t="s">
        <v>178</v>
      </c>
      <c r="D457" s="175">
        <v>22830</v>
      </c>
      <c r="E457" s="131"/>
      <c r="F457" s="247">
        <v>11415</v>
      </c>
      <c r="G457" s="147">
        <f t="shared" si="87"/>
        <v>11415</v>
      </c>
      <c r="H457" s="132">
        <f t="shared" si="88"/>
        <v>-50</v>
      </c>
      <c r="I457" s="133"/>
      <c r="J457" s="148">
        <f t="shared" si="86"/>
        <v>0</v>
      </c>
    </row>
    <row r="458" spans="1:12" ht="52.5" x14ac:dyDescent="0.4">
      <c r="A458" s="188">
        <v>1</v>
      </c>
      <c r="B458" s="29" t="s">
        <v>510</v>
      </c>
      <c r="C458" s="29" t="s">
        <v>178</v>
      </c>
      <c r="D458" s="175"/>
      <c r="E458" s="131"/>
      <c r="F458" s="247"/>
      <c r="G458" s="147">
        <f t="shared" si="87"/>
        <v>0</v>
      </c>
      <c r="H458" s="132">
        <f t="shared" si="88"/>
        <v>0</v>
      </c>
      <c r="I458" s="133"/>
      <c r="J458" s="148">
        <f t="shared" si="86"/>
        <v>0</v>
      </c>
    </row>
    <row r="459" spans="1:12" ht="52.5" x14ac:dyDescent="0.4">
      <c r="A459" s="188">
        <v>1</v>
      </c>
      <c r="B459" s="29" t="s">
        <v>685</v>
      </c>
      <c r="C459" s="29" t="s">
        <v>178</v>
      </c>
      <c r="D459" s="175"/>
      <c r="E459" s="131"/>
      <c r="F459" s="247"/>
      <c r="G459" s="147">
        <f t="shared" si="87"/>
        <v>0</v>
      </c>
      <c r="H459" s="132">
        <f t="shared" si="88"/>
        <v>0</v>
      </c>
      <c r="I459" s="133"/>
      <c r="J459" s="148">
        <f t="shared" si="86"/>
        <v>0</v>
      </c>
    </row>
    <row r="460" spans="1:12" ht="78.75" x14ac:dyDescent="0.4">
      <c r="A460" s="188">
        <v>1</v>
      </c>
      <c r="B460" s="178" t="s">
        <v>511</v>
      </c>
      <c r="C460" s="29" t="s">
        <v>178</v>
      </c>
      <c r="D460" s="175">
        <v>3200</v>
      </c>
      <c r="E460" s="131"/>
      <c r="F460" s="247">
        <v>15000</v>
      </c>
      <c r="G460" s="147">
        <f t="shared" si="87"/>
        <v>15000</v>
      </c>
      <c r="H460" s="132">
        <f t="shared" si="88"/>
        <v>368.75</v>
      </c>
      <c r="I460" s="133"/>
      <c r="J460" s="148">
        <f t="shared" si="86"/>
        <v>0</v>
      </c>
    </row>
    <row r="461" spans="1:12" ht="105" x14ac:dyDescent="0.4">
      <c r="A461" s="188">
        <v>1</v>
      </c>
      <c r="B461" s="178" t="s">
        <v>512</v>
      </c>
      <c r="C461" s="29" t="s">
        <v>178</v>
      </c>
      <c r="D461" s="175">
        <v>3000</v>
      </c>
      <c r="E461" s="131"/>
      <c r="F461" s="247">
        <v>1600</v>
      </c>
      <c r="G461" s="147">
        <f t="shared" si="87"/>
        <v>1600</v>
      </c>
      <c r="H461" s="132">
        <f t="shared" si="88"/>
        <v>-46.666666666666664</v>
      </c>
      <c r="I461" s="133"/>
      <c r="J461" s="148">
        <f t="shared" si="86"/>
        <v>0</v>
      </c>
    </row>
    <row r="462" spans="1:12" x14ac:dyDescent="0.4">
      <c r="A462" s="161" t="s">
        <v>0</v>
      </c>
      <c r="B462" s="161"/>
      <c r="C462" s="161"/>
      <c r="D462" s="120">
        <f>SUM(D454:D461)</f>
        <v>80062.17</v>
      </c>
      <c r="E462" s="120">
        <f>SUM(E454:E461)</f>
        <v>0</v>
      </c>
      <c r="F462" s="120">
        <f>SUM(F454:F461)</f>
        <v>60921.56</v>
      </c>
      <c r="G462" s="120">
        <f>SUM(G454:G461)</f>
        <v>60921.56</v>
      </c>
      <c r="H462" s="120">
        <f t="shared" ref="H462" si="89">IFERROR(G462/D462*100-100,0)</f>
        <v>-23.907183629921605</v>
      </c>
      <c r="I462" s="120">
        <f>SUM(I454:I461)</f>
        <v>0</v>
      </c>
      <c r="J462" s="120">
        <f t="shared" ref="J462" si="90">IFERROR(I462/G462*100,)</f>
        <v>0</v>
      </c>
      <c r="K462" s="205"/>
      <c r="L462" s="205"/>
    </row>
    <row r="463" spans="1:12" x14ac:dyDescent="0.4">
      <c r="A463" s="162"/>
      <c r="B463" s="162"/>
      <c r="C463" s="162"/>
      <c r="D463" s="224"/>
      <c r="E463" s="224"/>
      <c r="F463" s="224"/>
      <c r="G463" s="162"/>
      <c r="H463" s="162"/>
      <c r="I463" s="162"/>
      <c r="J463" s="162"/>
    </row>
    <row r="464" spans="1:12" x14ac:dyDescent="0.4">
      <c r="A464" s="755" t="s">
        <v>259</v>
      </c>
      <c r="B464" s="756"/>
      <c r="C464" s="163"/>
      <c r="D464" s="163"/>
      <c r="E464" s="163"/>
      <c r="F464" s="163"/>
      <c r="G464" s="163"/>
      <c r="H464" s="163"/>
      <c r="I464" s="163"/>
      <c r="J464" s="164"/>
    </row>
    <row r="465" spans="1:10" x14ac:dyDescent="0.4">
      <c r="A465" s="165"/>
      <c r="B465" s="166"/>
      <c r="C465" s="166"/>
      <c r="D465" s="166"/>
      <c r="E465" s="166"/>
      <c r="F465" s="166"/>
      <c r="G465" s="166"/>
      <c r="H465" s="166"/>
      <c r="I465" s="166"/>
      <c r="J465" s="167"/>
    </row>
    <row r="467" spans="1:10" ht="28.5" x14ac:dyDescent="0.4">
      <c r="A467" s="763" t="s">
        <v>77</v>
      </c>
      <c r="B467" s="757"/>
      <c r="C467" s="752" t="s">
        <v>513</v>
      </c>
      <c r="D467" s="753"/>
      <c r="E467" s="753"/>
      <c r="F467" s="753"/>
      <c r="G467" s="753"/>
      <c r="H467" s="753"/>
      <c r="I467" s="753"/>
      <c r="J467" s="754"/>
    </row>
    <row r="468" spans="1:10" ht="28.5" x14ac:dyDescent="0.4">
      <c r="A468" s="757" t="s">
        <v>41</v>
      </c>
      <c r="B468" s="757"/>
      <c r="C468" s="752" t="s">
        <v>38</v>
      </c>
      <c r="D468" s="753"/>
      <c r="E468" s="753"/>
      <c r="F468" s="753"/>
      <c r="G468" s="753"/>
      <c r="H468" s="753"/>
      <c r="I468" s="753"/>
      <c r="J468" s="754"/>
    </row>
    <row r="469" spans="1:10" x14ac:dyDescent="0.4">
      <c r="A469" s="159"/>
      <c r="B469" s="159"/>
      <c r="C469" s="159"/>
      <c r="D469" s="68"/>
      <c r="E469" s="68"/>
      <c r="F469" s="68"/>
      <c r="G469" s="68"/>
      <c r="H469" s="68"/>
      <c r="I469" s="68" t="s">
        <v>208</v>
      </c>
      <c r="J469" s="68"/>
    </row>
    <row r="470" spans="1:10" x14ac:dyDescent="0.4">
      <c r="A470" s="758" t="s">
        <v>285</v>
      </c>
      <c r="B470" s="759"/>
      <c r="C470" s="759"/>
      <c r="D470" s="758" t="s">
        <v>286</v>
      </c>
      <c r="E470" s="759"/>
      <c r="F470" s="759"/>
      <c r="G470" s="759"/>
      <c r="H470" s="760"/>
      <c r="I470" s="764" t="s">
        <v>209</v>
      </c>
      <c r="J470" s="765"/>
    </row>
    <row r="471" spans="1:10" x14ac:dyDescent="0.4">
      <c r="A471" s="758" t="s">
        <v>83</v>
      </c>
      <c r="B471" s="759"/>
      <c r="C471" s="760"/>
      <c r="D471" s="766" t="s">
        <v>297</v>
      </c>
      <c r="E471" s="758" t="s">
        <v>298</v>
      </c>
      <c r="F471" s="759"/>
      <c r="G471" s="760"/>
      <c r="H471" s="768" t="s">
        <v>299</v>
      </c>
      <c r="I471" s="761" t="s">
        <v>300</v>
      </c>
      <c r="J471" s="761" t="s">
        <v>301</v>
      </c>
    </row>
    <row r="472" spans="1:10" ht="78.75" x14ac:dyDescent="0.4">
      <c r="A472" s="160" t="s">
        <v>183</v>
      </c>
      <c r="B472" s="160" t="s">
        <v>182</v>
      </c>
      <c r="C472" s="130" t="s">
        <v>124</v>
      </c>
      <c r="D472" s="767"/>
      <c r="E472" s="160" t="s">
        <v>692</v>
      </c>
      <c r="F472" s="160" t="s">
        <v>693</v>
      </c>
      <c r="G472" s="160" t="s">
        <v>192</v>
      </c>
      <c r="H472" s="768"/>
      <c r="I472" s="762"/>
      <c r="J472" s="762"/>
    </row>
    <row r="473" spans="1:10" ht="105" x14ac:dyDescent="0.4">
      <c r="A473" s="190">
        <v>1</v>
      </c>
      <c r="B473" s="172" t="s">
        <v>514</v>
      </c>
      <c r="C473" s="29" t="s">
        <v>178</v>
      </c>
      <c r="D473" s="175">
        <v>320086.24</v>
      </c>
      <c r="E473" s="249">
        <v>97950.96</v>
      </c>
      <c r="F473" s="168">
        <v>191294.27526750002</v>
      </c>
      <c r="G473" s="147">
        <f>E473+F473</f>
        <v>289245.23526750004</v>
      </c>
      <c r="H473" s="132">
        <f>IFERROR(G473/D473*100-100,0)</f>
        <v>-9.6352172878471691</v>
      </c>
      <c r="I473" s="169"/>
      <c r="J473" s="170">
        <f t="shared" ref="J473:J479" si="91">IFERROR(I473/G473*100,)</f>
        <v>0</v>
      </c>
    </row>
    <row r="474" spans="1:10" ht="105" x14ac:dyDescent="0.4">
      <c r="A474" s="190">
        <v>1</v>
      </c>
      <c r="B474" s="172" t="s">
        <v>515</v>
      </c>
      <c r="C474" s="29" t="s">
        <v>178</v>
      </c>
      <c r="D474" s="175">
        <v>4025.01</v>
      </c>
      <c r="E474" s="131"/>
      <c r="F474" s="247">
        <v>4025.01</v>
      </c>
      <c r="G474" s="147">
        <f t="shared" ref="G474:G479" si="92">E474+F474</f>
        <v>4025.01</v>
      </c>
      <c r="H474" s="132">
        <f t="shared" ref="H474:H475" si="93">IFERROR(G474/D474*100-100,0)</f>
        <v>0</v>
      </c>
      <c r="I474" s="133"/>
      <c r="J474" s="148">
        <f t="shared" si="91"/>
        <v>0</v>
      </c>
    </row>
    <row r="475" spans="1:10" ht="78.75" x14ac:dyDescent="0.4">
      <c r="A475" s="190">
        <v>1</v>
      </c>
      <c r="B475" s="172" t="s">
        <v>516</v>
      </c>
      <c r="C475" s="29" t="s">
        <v>178</v>
      </c>
      <c r="D475" s="175">
        <v>4565.0599999999995</v>
      </c>
      <c r="E475" s="131"/>
      <c r="F475" s="247">
        <v>4565.0599999999995</v>
      </c>
      <c r="G475" s="147">
        <f t="shared" si="92"/>
        <v>4565.0599999999995</v>
      </c>
      <c r="H475" s="132">
        <f t="shared" si="93"/>
        <v>0</v>
      </c>
      <c r="I475" s="133"/>
      <c r="J475" s="148">
        <f t="shared" si="91"/>
        <v>0</v>
      </c>
    </row>
    <row r="476" spans="1:10" x14ac:dyDescent="0.4">
      <c r="A476" s="189">
        <v>1</v>
      </c>
      <c r="B476" s="244" t="s">
        <v>517</v>
      </c>
      <c r="C476" s="29" t="s">
        <v>178</v>
      </c>
      <c r="D476" s="210"/>
      <c r="E476" s="168"/>
      <c r="F476" s="168"/>
      <c r="G476" s="147">
        <f t="shared" si="92"/>
        <v>0</v>
      </c>
      <c r="H476" s="132">
        <f t="shared" ref="H476:H479" si="94">IFERROR(G476/D476*100-100,0)</f>
        <v>0</v>
      </c>
      <c r="I476" s="133"/>
      <c r="J476" s="148">
        <f t="shared" si="91"/>
        <v>0</v>
      </c>
    </row>
    <row r="477" spans="1:10" x14ac:dyDescent="0.4">
      <c r="A477" s="189">
        <v>1</v>
      </c>
      <c r="B477" s="254" t="s">
        <v>518</v>
      </c>
      <c r="C477" s="29" t="s">
        <v>178</v>
      </c>
      <c r="D477" s="175"/>
      <c r="E477" s="131"/>
      <c r="F477" s="131"/>
      <c r="G477" s="147">
        <f t="shared" si="92"/>
        <v>0</v>
      </c>
      <c r="H477" s="132">
        <f t="shared" si="94"/>
        <v>0</v>
      </c>
      <c r="I477" s="133"/>
      <c r="J477" s="148">
        <f t="shared" si="91"/>
        <v>0</v>
      </c>
    </row>
    <row r="478" spans="1:10" x14ac:dyDescent="0.4">
      <c r="A478" s="189">
        <v>1</v>
      </c>
      <c r="B478" s="172" t="s">
        <v>519</v>
      </c>
      <c r="C478" s="29" t="s">
        <v>178</v>
      </c>
      <c r="D478" s="175"/>
      <c r="E478" s="131"/>
      <c r="F478" s="131"/>
      <c r="G478" s="147">
        <f t="shared" si="92"/>
        <v>0</v>
      </c>
      <c r="H478" s="132">
        <f t="shared" si="94"/>
        <v>0</v>
      </c>
      <c r="I478" s="133"/>
      <c r="J478" s="148">
        <f t="shared" si="91"/>
        <v>0</v>
      </c>
    </row>
    <row r="479" spans="1:10" x14ac:dyDescent="0.4">
      <c r="A479" s="190">
        <v>1</v>
      </c>
      <c r="B479" s="244" t="s">
        <v>520</v>
      </c>
      <c r="C479" s="29" t="s">
        <v>178</v>
      </c>
      <c r="D479" s="175"/>
      <c r="E479" s="131"/>
      <c r="F479" s="168"/>
      <c r="G479" s="147">
        <f t="shared" si="92"/>
        <v>0</v>
      </c>
      <c r="H479" s="132">
        <f t="shared" si="94"/>
        <v>0</v>
      </c>
      <c r="I479" s="133"/>
      <c r="J479" s="148">
        <f t="shared" si="91"/>
        <v>0</v>
      </c>
    </row>
    <row r="480" spans="1:10" x14ac:dyDescent="0.4">
      <c r="A480" s="161" t="s">
        <v>0</v>
      </c>
      <c r="B480" s="161"/>
      <c r="C480" s="161"/>
      <c r="D480" s="120">
        <f>SUM(D473:D479)</f>
        <v>328676.31</v>
      </c>
      <c r="E480" s="120">
        <f>SUM(E473:E479)</f>
        <v>97950.96</v>
      </c>
      <c r="F480" s="120">
        <f>SUM(F473:F479)</f>
        <v>199884.34526750003</v>
      </c>
      <c r="G480" s="120">
        <f>SUM(G473:G479)</f>
        <v>297835.30526750005</v>
      </c>
      <c r="H480" s="120">
        <f t="shared" ref="H480" si="95">IFERROR(G480/D480*100-100,0)</f>
        <v>-9.3833975233870461</v>
      </c>
      <c r="I480" s="120">
        <f>SUM(I473:I479)</f>
        <v>0</v>
      </c>
      <c r="J480" s="120">
        <f t="shared" ref="J480" si="96">IFERROR(I480/G480*100,)</f>
        <v>0</v>
      </c>
    </row>
    <row r="481" spans="1:11" x14ac:dyDescent="0.4">
      <c r="A481" s="162"/>
      <c r="B481" s="162"/>
      <c r="C481" s="162"/>
      <c r="D481" s="224"/>
      <c r="E481" s="224"/>
      <c r="F481" s="224"/>
      <c r="G481" s="162"/>
      <c r="H481" s="162"/>
      <c r="I481" s="162"/>
      <c r="J481" s="162"/>
    </row>
    <row r="482" spans="1:11" x14ac:dyDescent="0.4">
      <c r="A482" s="755" t="s">
        <v>259</v>
      </c>
      <c r="B482" s="756"/>
      <c r="C482" s="163"/>
      <c r="D482" s="163"/>
      <c r="E482" s="163"/>
      <c r="F482" s="163"/>
      <c r="G482" s="163"/>
      <c r="H482" s="163"/>
      <c r="I482" s="163"/>
      <c r="J482" s="164"/>
    </row>
    <row r="483" spans="1:11" x14ac:dyDescent="0.4">
      <c r="A483" s="165"/>
      <c r="B483" s="166"/>
      <c r="C483" s="166"/>
      <c r="D483" s="166"/>
      <c r="E483" s="166"/>
      <c r="F483" s="166"/>
      <c r="G483" s="166"/>
      <c r="H483" s="166"/>
      <c r="I483" s="166"/>
      <c r="J483" s="167"/>
    </row>
    <row r="485" spans="1:11" ht="28.5" x14ac:dyDescent="0.4">
      <c r="A485" s="763" t="s">
        <v>77</v>
      </c>
      <c r="B485" s="757"/>
      <c r="C485" s="787" t="s">
        <v>760</v>
      </c>
      <c r="D485" s="788"/>
      <c r="E485" s="788"/>
      <c r="F485" s="788"/>
      <c r="G485" s="788"/>
      <c r="H485" s="788"/>
      <c r="I485" s="788"/>
      <c r="J485" s="789"/>
    </row>
    <row r="486" spans="1:11" ht="28.5" x14ac:dyDescent="0.4">
      <c r="A486" s="757" t="s">
        <v>41</v>
      </c>
      <c r="B486" s="757"/>
      <c r="C486" s="752" t="s">
        <v>39</v>
      </c>
      <c r="D486" s="753"/>
      <c r="E486" s="753"/>
      <c r="F486" s="753"/>
      <c r="G486" s="753"/>
      <c r="H486" s="753"/>
      <c r="I486" s="753"/>
      <c r="J486" s="754"/>
    </row>
    <row r="487" spans="1:11" x14ac:dyDescent="0.4">
      <c r="A487" s="159"/>
      <c r="B487" s="159"/>
      <c r="C487" s="159"/>
      <c r="D487" s="68"/>
      <c r="E487" s="68"/>
      <c r="F487" s="68"/>
      <c r="G487" s="68"/>
      <c r="H487" s="68"/>
      <c r="I487" s="68" t="s">
        <v>208</v>
      </c>
      <c r="J487" s="68"/>
    </row>
    <row r="488" spans="1:11" x14ac:dyDescent="0.4">
      <c r="A488" s="758" t="s">
        <v>285</v>
      </c>
      <c r="B488" s="759"/>
      <c r="C488" s="759"/>
      <c r="D488" s="758" t="s">
        <v>286</v>
      </c>
      <c r="E488" s="759"/>
      <c r="F488" s="759"/>
      <c r="G488" s="759"/>
      <c r="H488" s="760"/>
      <c r="I488" s="764" t="s">
        <v>209</v>
      </c>
      <c r="J488" s="765"/>
    </row>
    <row r="489" spans="1:11" x14ac:dyDescent="0.4">
      <c r="A489" s="758" t="s">
        <v>83</v>
      </c>
      <c r="B489" s="759"/>
      <c r="C489" s="760"/>
      <c r="D489" s="766" t="s">
        <v>297</v>
      </c>
      <c r="E489" s="758" t="s">
        <v>298</v>
      </c>
      <c r="F489" s="759"/>
      <c r="G489" s="760"/>
      <c r="H489" s="768" t="s">
        <v>299</v>
      </c>
      <c r="I489" s="761" t="s">
        <v>300</v>
      </c>
      <c r="J489" s="761" t="s">
        <v>301</v>
      </c>
    </row>
    <row r="490" spans="1:11" ht="78.75" x14ac:dyDescent="0.4">
      <c r="A490" s="160" t="s">
        <v>183</v>
      </c>
      <c r="B490" s="160" t="s">
        <v>182</v>
      </c>
      <c r="C490" s="130" t="s">
        <v>124</v>
      </c>
      <c r="D490" s="767"/>
      <c r="E490" s="160" t="s">
        <v>692</v>
      </c>
      <c r="F490" s="160" t="s">
        <v>693</v>
      </c>
      <c r="G490" s="160" t="s">
        <v>192</v>
      </c>
      <c r="H490" s="768"/>
      <c r="I490" s="762"/>
      <c r="J490" s="762"/>
    </row>
    <row r="491" spans="1:11" ht="52.5" x14ac:dyDescent="0.4">
      <c r="A491" s="190">
        <v>1</v>
      </c>
      <c r="B491" s="244" t="s">
        <v>686</v>
      </c>
      <c r="C491" s="29" t="s">
        <v>178</v>
      </c>
      <c r="D491" s="175"/>
      <c r="E491" s="168"/>
      <c r="F491" s="168">
        <v>120000</v>
      </c>
      <c r="G491" s="147">
        <f>E491+F491</f>
        <v>120000</v>
      </c>
      <c r="H491" s="132">
        <f>IFERROR(G491/D491*100-100,0)</f>
        <v>0</v>
      </c>
      <c r="I491" s="169"/>
      <c r="J491" s="170">
        <f t="shared" ref="J491:J492" si="97">IFERROR(I491/G491*100,)</f>
        <v>0</v>
      </c>
    </row>
    <row r="492" spans="1:11" ht="52.5" x14ac:dyDescent="0.4">
      <c r="A492" s="190">
        <v>1</v>
      </c>
      <c r="B492" s="244" t="s">
        <v>687</v>
      </c>
      <c r="C492" s="29" t="s">
        <v>178</v>
      </c>
      <c r="D492" s="175"/>
      <c r="E492" s="131"/>
      <c r="F492" s="131">
        <v>30000</v>
      </c>
      <c r="G492" s="147">
        <f t="shared" ref="G492" si="98">E492+F492</f>
        <v>30000</v>
      </c>
      <c r="H492" s="132">
        <f t="shared" ref="H492" si="99">IFERROR(G492/D492*100-100,0)</f>
        <v>0</v>
      </c>
      <c r="I492" s="133"/>
      <c r="J492" s="148">
        <f t="shared" si="97"/>
        <v>0</v>
      </c>
    </row>
    <row r="493" spans="1:11" x14ac:dyDescent="0.4">
      <c r="A493" s="161" t="s">
        <v>0</v>
      </c>
      <c r="B493" s="161"/>
      <c r="C493" s="161"/>
      <c r="D493" s="120">
        <f>SUM(D491:D492)</f>
        <v>0</v>
      </c>
      <c r="E493" s="120">
        <f>SUM(E491:E492)</f>
        <v>0</v>
      </c>
      <c r="F493" s="120">
        <f>SUM(F491:F492)</f>
        <v>150000</v>
      </c>
      <c r="G493" s="120">
        <f>SUM(G491:G492)</f>
        <v>150000</v>
      </c>
      <c r="H493" s="120">
        <f t="shared" ref="H493" si="100">IFERROR(G493/D493*100-100,0)</f>
        <v>0</v>
      </c>
      <c r="I493" s="120">
        <f>SUM(I491:I492)</f>
        <v>0</v>
      </c>
      <c r="J493" s="120">
        <f t="shared" ref="J493" si="101">IFERROR(I493/G493*100,)</f>
        <v>0</v>
      </c>
      <c r="K493" s="205"/>
    </row>
    <row r="494" spans="1:11" x14ac:dyDescent="0.4">
      <c r="A494" s="162"/>
      <c r="B494" s="162"/>
      <c r="C494" s="162"/>
      <c r="D494" s="224">
        <f>'Quadro Geral'!J33</f>
        <v>0</v>
      </c>
      <c r="E494" s="224"/>
      <c r="F494" s="224"/>
      <c r="G494" s="162"/>
      <c r="H494" s="162"/>
      <c r="I494" s="162"/>
      <c r="J494" s="162"/>
    </row>
    <row r="495" spans="1:11" x14ac:dyDescent="0.4">
      <c r="A495" s="755" t="s">
        <v>259</v>
      </c>
      <c r="B495" s="756"/>
      <c r="C495" s="163"/>
      <c r="D495" s="163"/>
      <c r="E495" s="163"/>
      <c r="F495" s="163"/>
      <c r="G495" s="163"/>
      <c r="H495" s="163"/>
      <c r="I495" s="163"/>
      <c r="J495" s="164"/>
    </row>
    <row r="496" spans="1:11" x14ac:dyDescent="0.4">
      <c r="A496" s="165"/>
      <c r="B496" s="166"/>
      <c r="C496" s="166"/>
      <c r="D496" s="166"/>
      <c r="E496" s="166"/>
      <c r="F496" s="166"/>
      <c r="G496" s="166"/>
      <c r="H496" s="166"/>
      <c r="I496" s="166"/>
      <c r="J496" s="167"/>
    </row>
    <row r="498" spans="1:11" ht="28.5" x14ac:dyDescent="0.4">
      <c r="A498" s="763" t="s">
        <v>77</v>
      </c>
      <c r="B498" s="757"/>
      <c r="C498" s="752" t="s">
        <v>521</v>
      </c>
      <c r="D498" s="753"/>
      <c r="E498" s="753"/>
      <c r="F498" s="753"/>
      <c r="G498" s="753"/>
      <c r="H498" s="753"/>
      <c r="I498" s="753"/>
      <c r="J498" s="754"/>
    </row>
    <row r="499" spans="1:11" ht="28.5" x14ac:dyDescent="0.4">
      <c r="A499" s="757" t="s">
        <v>41</v>
      </c>
      <c r="B499" s="757"/>
      <c r="C499" s="752" t="s">
        <v>36</v>
      </c>
      <c r="D499" s="753"/>
      <c r="E499" s="753"/>
      <c r="F499" s="753"/>
      <c r="G499" s="753"/>
      <c r="H499" s="753"/>
      <c r="I499" s="753"/>
      <c r="J499" s="754"/>
    </row>
    <row r="500" spans="1:11" x14ac:dyDescent="0.4">
      <c r="A500" s="159"/>
      <c r="B500" s="159"/>
      <c r="C500" s="159"/>
      <c r="D500" s="68"/>
      <c r="E500" s="68"/>
      <c r="F500" s="68"/>
      <c r="G500" s="68"/>
      <c r="H500" s="68"/>
      <c r="I500" s="68" t="s">
        <v>208</v>
      </c>
      <c r="J500" s="68"/>
    </row>
    <row r="501" spans="1:11" x14ac:dyDescent="0.4">
      <c r="A501" s="758" t="s">
        <v>285</v>
      </c>
      <c r="B501" s="759"/>
      <c r="C501" s="759"/>
      <c r="D501" s="758" t="s">
        <v>286</v>
      </c>
      <c r="E501" s="759"/>
      <c r="F501" s="759"/>
      <c r="G501" s="759"/>
      <c r="H501" s="760"/>
      <c r="I501" s="764" t="s">
        <v>209</v>
      </c>
      <c r="J501" s="765"/>
    </row>
    <row r="502" spans="1:11" x14ac:dyDescent="0.4">
      <c r="A502" s="758" t="s">
        <v>83</v>
      </c>
      <c r="B502" s="759"/>
      <c r="C502" s="760"/>
      <c r="D502" s="766" t="s">
        <v>297</v>
      </c>
      <c r="E502" s="758" t="s">
        <v>298</v>
      </c>
      <c r="F502" s="759"/>
      <c r="G502" s="760"/>
      <c r="H502" s="768" t="s">
        <v>299</v>
      </c>
      <c r="I502" s="761" t="s">
        <v>300</v>
      </c>
      <c r="J502" s="761" t="s">
        <v>301</v>
      </c>
    </row>
    <row r="503" spans="1:11" ht="78.75" x14ac:dyDescent="0.4">
      <c r="A503" s="160" t="s">
        <v>183</v>
      </c>
      <c r="B503" s="160" t="s">
        <v>182</v>
      </c>
      <c r="C503" s="130" t="s">
        <v>124</v>
      </c>
      <c r="D503" s="767"/>
      <c r="E503" s="160" t="s">
        <v>692</v>
      </c>
      <c r="F503" s="160" t="s">
        <v>693</v>
      </c>
      <c r="G503" s="160" t="s">
        <v>192</v>
      </c>
      <c r="H503" s="768"/>
      <c r="I503" s="762"/>
      <c r="J503" s="762"/>
    </row>
    <row r="504" spans="1:11" ht="131.25" x14ac:dyDescent="0.4">
      <c r="A504" s="190">
        <v>1</v>
      </c>
      <c r="B504" s="172" t="s">
        <v>522</v>
      </c>
      <c r="C504" s="29" t="s">
        <v>178</v>
      </c>
      <c r="D504" s="175">
        <v>532285.6</v>
      </c>
      <c r="E504" s="249">
        <v>154333.53999999998</v>
      </c>
      <c r="F504" s="168">
        <v>330457.87137999997</v>
      </c>
      <c r="G504" s="147">
        <f>E504+F504</f>
        <v>484791.41137999995</v>
      </c>
      <c r="H504" s="132">
        <f>IFERROR(G504/D504*100-100,0)</f>
        <v>-8.9226889887684422</v>
      </c>
      <c r="I504" s="169"/>
      <c r="J504" s="170">
        <f t="shared" ref="J504:J507" si="102">IFERROR(I504/G504*100,)</f>
        <v>0</v>
      </c>
      <c r="K504" s="205"/>
    </row>
    <row r="505" spans="1:11" ht="131.25" x14ac:dyDescent="0.4">
      <c r="A505" s="190">
        <v>1</v>
      </c>
      <c r="B505" s="172" t="s">
        <v>523</v>
      </c>
      <c r="C505" s="29" t="s">
        <v>178</v>
      </c>
      <c r="D505" s="175">
        <v>2536.41</v>
      </c>
      <c r="E505" s="131"/>
      <c r="F505" s="131">
        <v>2000</v>
      </c>
      <c r="G505" s="147">
        <f t="shared" ref="G505:G508" si="103">E505+F505</f>
        <v>2000</v>
      </c>
      <c r="H505" s="132">
        <f t="shared" ref="H505:H508" si="104">IFERROR(G505/D505*100-100,0)</f>
        <v>-21.148394778446701</v>
      </c>
      <c r="I505" s="133"/>
      <c r="J505" s="148">
        <f t="shared" si="102"/>
        <v>0</v>
      </c>
    </row>
    <row r="506" spans="1:11" ht="157.5" x14ac:dyDescent="0.4">
      <c r="A506" s="190">
        <v>1</v>
      </c>
      <c r="B506" s="172" t="s">
        <v>524</v>
      </c>
      <c r="C506" s="29" t="s">
        <v>178</v>
      </c>
      <c r="D506" s="175">
        <v>20702.75</v>
      </c>
      <c r="E506" s="247">
        <v>1014.08</v>
      </c>
      <c r="F506" s="131">
        <v>15167.712</v>
      </c>
      <c r="G506" s="147">
        <f t="shared" si="103"/>
        <v>16181.791999999999</v>
      </c>
      <c r="H506" s="132">
        <f t="shared" si="104"/>
        <v>-21.837475697673014</v>
      </c>
      <c r="I506" s="133"/>
      <c r="J506" s="148">
        <f t="shared" si="102"/>
        <v>0</v>
      </c>
    </row>
    <row r="507" spans="1:11" ht="131.25" x14ac:dyDescent="0.4">
      <c r="A507" s="190">
        <v>1</v>
      </c>
      <c r="B507" s="172" t="s">
        <v>525</v>
      </c>
      <c r="C507" s="29" t="s">
        <v>178</v>
      </c>
      <c r="D507" s="175">
        <v>22430.06</v>
      </c>
      <c r="E507" s="247">
        <v>15952</v>
      </c>
      <c r="F507" s="131">
        <v>40000</v>
      </c>
      <c r="G507" s="147">
        <f t="shared" si="103"/>
        <v>55952</v>
      </c>
      <c r="H507" s="132">
        <f t="shared" si="104"/>
        <v>149.45096000634859</v>
      </c>
      <c r="I507" s="133"/>
      <c r="J507" s="148">
        <f t="shared" si="102"/>
        <v>0</v>
      </c>
    </row>
    <row r="508" spans="1:11" ht="39.75" customHeight="1" x14ac:dyDescent="0.4">
      <c r="A508" s="189">
        <v>1</v>
      </c>
      <c r="B508" s="172" t="s">
        <v>526</v>
      </c>
      <c r="C508" s="29" t="s">
        <v>178</v>
      </c>
      <c r="D508" s="175"/>
      <c r="E508" s="247"/>
      <c r="F508" s="131">
        <v>10000</v>
      </c>
      <c r="G508" s="147">
        <f t="shared" si="103"/>
        <v>10000</v>
      </c>
      <c r="H508" s="132">
        <f t="shared" si="104"/>
        <v>0</v>
      </c>
      <c r="I508" s="133"/>
      <c r="J508" s="148"/>
    </row>
    <row r="509" spans="1:11" x14ac:dyDescent="0.4">
      <c r="A509" s="161" t="s">
        <v>0</v>
      </c>
      <c r="B509" s="161"/>
      <c r="C509" s="161"/>
      <c r="D509" s="120">
        <f>SUM(D504:D507)</f>
        <v>577954.82000000007</v>
      </c>
      <c r="E509" s="120">
        <f>SUM(E504:E508)</f>
        <v>171299.61999999997</v>
      </c>
      <c r="F509" s="120">
        <f>SUM(F504:F508)</f>
        <v>397625.58337999997</v>
      </c>
      <c r="G509" s="120">
        <f>SUM(G504:G508)</f>
        <v>568925.20337999996</v>
      </c>
      <c r="H509" s="120">
        <f t="shared" ref="H509" si="105">IFERROR(G509/D509*100-100,0)</f>
        <v>-1.5623395302767875</v>
      </c>
      <c r="I509" s="120">
        <f>SUM(I504:I508)</f>
        <v>0</v>
      </c>
      <c r="J509" s="120">
        <f t="shared" ref="J509" si="106">IFERROR(I509/G509*100,)</f>
        <v>0</v>
      </c>
    </row>
    <row r="510" spans="1:11" x14ac:dyDescent="0.4">
      <c r="D510" s="162"/>
      <c r="E510" s="251"/>
      <c r="F510" s="251"/>
      <c r="K510" s="205"/>
    </row>
    <row r="511" spans="1:11" x14ac:dyDescent="0.4">
      <c r="A511" s="755" t="s">
        <v>259</v>
      </c>
      <c r="B511" s="756"/>
      <c r="C511" s="163"/>
      <c r="D511" s="163"/>
      <c r="E511" s="163"/>
      <c r="F511" s="163"/>
      <c r="G511" s="163"/>
      <c r="H511" s="163"/>
      <c r="I511" s="163"/>
      <c r="J511" s="164"/>
    </row>
    <row r="512" spans="1:11" x14ac:dyDescent="0.4">
      <c r="A512" s="165"/>
      <c r="B512" s="166"/>
      <c r="C512" s="166"/>
      <c r="D512" s="166"/>
      <c r="E512" s="166"/>
      <c r="F512" s="166"/>
      <c r="G512" s="166"/>
      <c r="H512" s="166"/>
      <c r="I512" s="166"/>
      <c r="J512" s="167"/>
    </row>
    <row r="515" spans="1:10" ht="28.5" x14ac:dyDescent="0.4">
      <c r="A515" s="763" t="s">
        <v>77</v>
      </c>
      <c r="B515" s="757"/>
      <c r="C515" s="752" t="s">
        <v>529</v>
      </c>
      <c r="D515" s="753"/>
      <c r="E515" s="753"/>
      <c r="F515" s="753"/>
      <c r="G515" s="753"/>
      <c r="H515" s="753"/>
      <c r="I515" s="753"/>
      <c r="J515" s="754"/>
    </row>
    <row r="516" spans="1:10" ht="28.5" x14ac:dyDescent="0.4">
      <c r="A516" s="757" t="s">
        <v>41</v>
      </c>
      <c r="B516" s="757"/>
      <c r="C516" s="752" t="s">
        <v>129</v>
      </c>
      <c r="D516" s="753"/>
      <c r="E516" s="753"/>
      <c r="F516" s="753"/>
      <c r="G516" s="753"/>
      <c r="H516" s="753"/>
      <c r="I516" s="753"/>
      <c r="J516" s="754"/>
    </row>
    <row r="517" spans="1:10" x14ac:dyDescent="0.4">
      <c r="A517" s="159"/>
      <c r="B517" s="159"/>
      <c r="C517" s="159"/>
      <c r="D517" s="68"/>
      <c r="E517" s="68"/>
      <c r="F517" s="68"/>
      <c r="G517" s="68"/>
      <c r="H517" s="68"/>
      <c r="I517" s="68" t="s">
        <v>208</v>
      </c>
      <c r="J517" s="68"/>
    </row>
    <row r="518" spans="1:10" x14ac:dyDescent="0.4">
      <c r="A518" s="758" t="s">
        <v>285</v>
      </c>
      <c r="B518" s="759"/>
      <c r="C518" s="759"/>
      <c r="D518" s="758" t="s">
        <v>286</v>
      </c>
      <c r="E518" s="759"/>
      <c r="F518" s="759"/>
      <c r="G518" s="759"/>
      <c r="H518" s="760"/>
      <c r="I518" s="764" t="s">
        <v>209</v>
      </c>
      <c r="J518" s="765"/>
    </row>
    <row r="519" spans="1:10" x14ac:dyDescent="0.4">
      <c r="A519" s="758" t="s">
        <v>83</v>
      </c>
      <c r="B519" s="759"/>
      <c r="C519" s="760"/>
      <c r="D519" s="766" t="s">
        <v>297</v>
      </c>
      <c r="E519" s="758" t="s">
        <v>298</v>
      </c>
      <c r="F519" s="759"/>
      <c r="G519" s="760"/>
      <c r="H519" s="768" t="s">
        <v>299</v>
      </c>
      <c r="I519" s="761" t="s">
        <v>300</v>
      </c>
      <c r="J519" s="761" t="s">
        <v>301</v>
      </c>
    </row>
    <row r="520" spans="1:10" ht="78.75" x14ac:dyDescent="0.4">
      <c r="A520" s="160" t="s">
        <v>183</v>
      </c>
      <c r="B520" s="160" t="s">
        <v>182</v>
      </c>
      <c r="C520" s="130" t="s">
        <v>124</v>
      </c>
      <c r="D520" s="767"/>
      <c r="E520" s="160" t="s">
        <v>692</v>
      </c>
      <c r="F520" s="160" t="s">
        <v>693</v>
      </c>
      <c r="G520" s="160" t="s">
        <v>192</v>
      </c>
      <c r="H520" s="768"/>
      <c r="I520" s="762"/>
      <c r="J520" s="762"/>
    </row>
    <row r="521" spans="1:10" ht="52.5" x14ac:dyDescent="0.4">
      <c r="A521" s="190">
        <v>1</v>
      </c>
      <c r="B521" s="187" t="s">
        <v>530</v>
      </c>
      <c r="C521" s="29" t="s">
        <v>178</v>
      </c>
      <c r="D521" s="175">
        <v>1262937.94</v>
      </c>
      <c r="E521" s="249">
        <v>508483.74999999994</v>
      </c>
      <c r="F521" s="168">
        <v>920690.12259277795</v>
      </c>
      <c r="G521" s="147">
        <f>E521+F521</f>
        <v>1429173.8725927779</v>
      </c>
      <c r="H521" s="132">
        <f>IFERROR(G521/D521*100-100,0)</f>
        <v>13.162636684489669</v>
      </c>
      <c r="I521" s="169"/>
      <c r="J521" s="170">
        <f t="shared" ref="J521:J528" si="107">IFERROR(I521/G521*100,)</f>
        <v>0</v>
      </c>
    </row>
    <row r="522" spans="1:10" ht="105" x14ac:dyDescent="0.4">
      <c r="A522" s="190">
        <v>1</v>
      </c>
      <c r="B522" s="187" t="s">
        <v>531</v>
      </c>
      <c r="C522" s="29" t="s">
        <v>178</v>
      </c>
      <c r="D522" s="175">
        <v>3698</v>
      </c>
      <c r="E522" s="131"/>
      <c r="F522" s="131">
        <v>4500</v>
      </c>
      <c r="G522" s="147">
        <f t="shared" ref="G522:G528" si="108">E522+F522</f>
        <v>4500</v>
      </c>
      <c r="H522" s="132">
        <f t="shared" ref="H522:H528" si="109">IFERROR(G522/D522*100-100,0)</f>
        <v>21.687398593834502</v>
      </c>
      <c r="I522" s="133"/>
      <c r="J522" s="148">
        <f t="shared" si="107"/>
        <v>0</v>
      </c>
    </row>
    <row r="523" spans="1:10" ht="105" x14ac:dyDescent="0.4">
      <c r="A523" s="190">
        <v>1</v>
      </c>
      <c r="B523" s="187" t="s">
        <v>532</v>
      </c>
      <c r="C523" s="29" t="s">
        <v>178</v>
      </c>
      <c r="D523" s="175">
        <v>74661.789999999994</v>
      </c>
      <c r="E523" s="247">
        <v>12693.05</v>
      </c>
      <c r="F523" s="131">
        <v>20094.919999999998</v>
      </c>
      <c r="G523" s="147">
        <f t="shared" si="108"/>
        <v>32787.97</v>
      </c>
      <c r="H523" s="132">
        <f t="shared" si="109"/>
        <v>-56.084671958708725</v>
      </c>
      <c r="I523" s="133"/>
      <c r="J523" s="148">
        <f t="shared" si="107"/>
        <v>0</v>
      </c>
    </row>
    <row r="524" spans="1:10" ht="78.75" x14ac:dyDescent="0.4">
      <c r="A524" s="188">
        <v>1</v>
      </c>
      <c r="B524" s="29" t="s">
        <v>533</v>
      </c>
      <c r="C524" s="29" t="s">
        <v>178</v>
      </c>
      <c r="D524" s="175"/>
      <c r="E524" s="131"/>
      <c r="F524" s="131"/>
      <c r="G524" s="147">
        <f t="shared" si="108"/>
        <v>0</v>
      </c>
      <c r="H524" s="132">
        <f t="shared" si="109"/>
        <v>0</v>
      </c>
      <c r="I524" s="133"/>
      <c r="J524" s="148">
        <f t="shared" si="107"/>
        <v>0</v>
      </c>
    </row>
    <row r="525" spans="1:10" ht="78.75" x14ac:dyDescent="0.4">
      <c r="A525" s="188">
        <v>6</v>
      </c>
      <c r="B525" s="178" t="s">
        <v>534</v>
      </c>
      <c r="C525" s="29" t="s">
        <v>178</v>
      </c>
      <c r="D525" s="175"/>
      <c r="E525" s="131"/>
      <c r="F525" s="131"/>
      <c r="G525" s="147">
        <f t="shared" si="108"/>
        <v>0</v>
      </c>
      <c r="H525" s="132">
        <f t="shared" si="109"/>
        <v>0</v>
      </c>
      <c r="I525" s="133"/>
      <c r="J525" s="148">
        <f t="shared" si="107"/>
        <v>0</v>
      </c>
    </row>
    <row r="526" spans="1:10" ht="52.5" x14ac:dyDescent="0.4">
      <c r="A526" s="190">
        <v>1</v>
      </c>
      <c r="B526" s="209" t="s">
        <v>535</v>
      </c>
      <c r="C526" s="209" t="s">
        <v>178</v>
      </c>
      <c r="D526" s="210">
        <v>44107.673999999999</v>
      </c>
      <c r="E526" s="131"/>
      <c r="F526" s="131">
        <v>44107.673999999999</v>
      </c>
      <c r="G526" s="147">
        <f t="shared" si="108"/>
        <v>44107.673999999999</v>
      </c>
      <c r="H526" s="132">
        <f t="shared" si="109"/>
        <v>0</v>
      </c>
      <c r="I526" s="133"/>
      <c r="J526" s="148">
        <f t="shared" si="107"/>
        <v>0</v>
      </c>
    </row>
    <row r="527" spans="1:10" ht="78.75" x14ac:dyDescent="0.4">
      <c r="A527" s="188">
        <v>1</v>
      </c>
      <c r="B527" s="172" t="s">
        <v>698</v>
      </c>
      <c r="C527" s="29" t="s">
        <v>757</v>
      </c>
      <c r="D527" s="175"/>
      <c r="E527" s="131"/>
      <c r="F527" s="131">
        <v>5000</v>
      </c>
      <c r="G527" s="147">
        <f t="shared" si="108"/>
        <v>5000</v>
      </c>
      <c r="H527" s="132">
        <f t="shared" si="109"/>
        <v>0</v>
      </c>
      <c r="I527" s="133"/>
      <c r="J527" s="148">
        <f t="shared" si="107"/>
        <v>0</v>
      </c>
    </row>
    <row r="528" spans="1:10" x14ac:dyDescent="0.4">
      <c r="A528" s="188">
        <v>3</v>
      </c>
      <c r="B528" s="172" t="s">
        <v>584</v>
      </c>
      <c r="C528" s="209" t="s">
        <v>178</v>
      </c>
      <c r="D528" s="175"/>
      <c r="E528" s="131"/>
      <c r="F528" s="131"/>
      <c r="G528" s="147">
        <f t="shared" si="108"/>
        <v>0</v>
      </c>
      <c r="H528" s="132">
        <f t="shared" si="109"/>
        <v>0</v>
      </c>
      <c r="I528" s="133"/>
      <c r="J528" s="148">
        <f t="shared" si="107"/>
        <v>0</v>
      </c>
    </row>
    <row r="529" spans="1:11" x14ac:dyDescent="0.4">
      <c r="A529" s="161" t="s">
        <v>0</v>
      </c>
      <c r="B529" s="161"/>
      <c r="C529" s="161"/>
      <c r="D529" s="120">
        <f>SUM(D521:D528)</f>
        <v>1385405.4040000001</v>
      </c>
      <c r="E529" s="120">
        <f>SUM(E521:E528)</f>
        <v>521176.79999999993</v>
      </c>
      <c r="F529" s="120">
        <f>SUM(F521:F528)</f>
        <v>994392.71659277799</v>
      </c>
      <c r="G529" s="120">
        <f>SUM(G521:G528)</f>
        <v>1515569.5165927778</v>
      </c>
      <c r="H529" s="120">
        <f t="shared" ref="H529" si="110">IFERROR(G529/D529*100-100,0)</f>
        <v>9.3953807468169543</v>
      </c>
      <c r="I529" s="120">
        <f>SUM(I521:I528)</f>
        <v>0</v>
      </c>
      <c r="J529" s="120">
        <f t="shared" ref="J529" si="111">IFERROR(I529/G529*100,)</f>
        <v>0</v>
      </c>
      <c r="K529" s="205"/>
    </row>
    <row r="530" spans="1:11" x14ac:dyDescent="0.4">
      <c r="D530" s="162"/>
      <c r="E530" s="251"/>
      <c r="F530" s="251"/>
    </row>
    <row r="531" spans="1:11" x14ac:dyDescent="0.4">
      <c r="A531" s="755" t="s">
        <v>259</v>
      </c>
      <c r="B531" s="756"/>
      <c r="C531" s="163"/>
      <c r="D531" s="163"/>
      <c r="E531" s="163"/>
      <c r="F531" s="163"/>
      <c r="G531" s="163"/>
      <c r="H531" s="163"/>
      <c r="I531" s="163"/>
      <c r="J531" s="164"/>
    </row>
    <row r="532" spans="1:11" x14ac:dyDescent="0.4">
      <c r="A532" s="165"/>
      <c r="B532" s="166"/>
      <c r="C532" s="166"/>
      <c r="D532" s="166"/>
      <c r="E532" s="166"/>
      <c r="F532" s="166"/>
      <c r="G532" s="166"/>
      <c r="H532" s="166"/>
      <c r="I532" s="166"/>
      <c r="J532" s="167"/>
    </row>
    <row r="534" spans="1:11" ht="28.5" x14ac:dyDescent="0.4">
      <c r="A534" s="763" t="s">
        <v>77</v>
      </c>
      <c r="B534" s="757"/>
      <c r="C534" s="752" t="s">
        <v>536</v>
      </c>
      <c r="D534" s="753"/>
      <c r="E534" s="753"/>
      <c r="F534" s="753"/>
      <c r="G534" s="753"/>
      <c r="H534" s="753"/>
      <c r="I534" s="753"/>
      <c r="J534" s="754"/>
    </row>
    <row r="535" spans="1:11" ht="28.5" x14ac:dyDescent="0.4">
      <c r="A535" s="757" t="s">
        <v>41</v>
      </c>
      <c r="B535" s="757"/>
      <c r="C535" s="752" t="s">
        <v>27</v>
      </c>
      <c r="D535" s="753"/>
      <c r="E535" s="753"/>
      <c r="F535" s="753"/>
      <c r="G535" s="753"/>
      <c r="H535" s="753"/>
      <c r="I535" s="753"/>
      <c r="J535" s="754"/>
    </row>
    <row r="536" spans="1:11" x14ac:dyDescent="0.4">
      <c r="A536" s="159"/>
      <c r="B536" s="159"/>
      <c r="C536" s="159"/>
      <c r="D536" s="68"/>
      <c r="E536" s="68"/>
      <c r="F536" s="68"/>
      <c r="G536" s="68"/>
      <c r="H536" s="68"/>
      <c r="I536" s="68" t="s">
        <v>208</v>
      </c>
      <c r="J536" s="68"/>
    </row>
    <row r="537" spans="1:11" x14ac:dyDescent="0.4">
      <c r="A537" s="758" t="s">
        <v>285</v>
      </c>
      <c r="B537" s="759"/>
      <c r="C537" s="759"/>
      <c r="D537" s="758" t="s">
        <v>286</v>
      </c>
      <c r="E537" s="759"/>
      <c r="F537" s="759"/>
      <c r="G537" s="759"/>
      <c r="H537" s="760"/>
      <c r="I537" s="764" t="s">
        <v>209</v>
      </c>
      <c r="J537" s="765"/>
    </row>
    <row r="538" spans="1:11" x14ac:dyDescent="0.4">
      <c r="A538" s="758" t="s">
        <v>83</v>
      </c>
      <c r="B538" s="759"/>
      <c r="C538" s="760"/>
      <c r="D538" s="766" t="s">
        <v>297</v>
      </c>
      <c r="E538" s="758" t="s">
        <v>298</v>
      </c>
      <c r="F538" s="759"/>
      <c r="G538" s="760"/>
      <c r="H538" s="768" t="s">
        <v>299</v>
      </c>
      <c r="I538" s="761" t="s">
        <v>300</v>
      </c>
      <c r="J538" s="761" t="s">
        <v>301</v>
      </c>
    </row>
    <row r="539" spans="1:11" ht="78.75" x14ac:dyDescent="0.4">
      <c r="A539" s="160" t="s">
        <v>183</v>
      </c>
      <c r="B539" s="160" t="s">
        <v>182</v>
      </c>
      <c r="C539" s="130" t="s">
        <v>124</v>
      </c>
      <c r="D539" s="767"/>
      <c r="E539" s="160" t="s">
        <v>692</v>
      </c>
      <c r="F539" s="160" t="s">
        <v>693</v>
      </c>
      <c r="G539" s="160" t="s">
        <v>192</v>
      </c>
      <c r="H539" s="768"/>
      <c r="I539" s="762"/>
      <c r="J539" s="762"/>
    </row>
    <row r="540" spans="1:11" ht="78.75" x14ac:dyDescent="0.4">
      <c r="A540" s="190">
        <v>1</v>
      </c>
      <c r="B540" s="187" t="s">
        <v>537</v>
      </c>
      <c r="C540" s="29" t="s">
        <v>178</v>
      </c>
      <c r="D540" s="175">
        <v>1190136.8500000001</v>
      </c>
      <c r="E540" s="249">
        <v>395083.68999999994</v>
      </c>
      <c r="F540" s="168">
        <v>795053.16000000015</v>
      </c>
      <c r="G540" s="147">
        <f>E540+F540</f>
        <v>1190136.8500000001</v>
      </c>
      <c r="H540" s="132">
        <f>IFERROR(G540/D540*100-100,0)</f>
        <v>0</v>
      </c>
      <c r="I540" s="169"/>
      <c r="J540" s="170">
        <f t="shared" ref="J540:J552" si="112">IFERROR(I540/G540*100,)</f>
        <v>0</v>
      </c>
      <c r="K540" s="205"/>
    </row>
    <row r="541" spans="1:11" ht="105" x14ac:dyDescent="0.4">
      <c r="A541" s="190">
        <v>1</v>
      </c>
      <c r="B541" s="187" t="s">
        <v>538</v>
      </c>
      <c r="C541" s="29" t="s">
        <v>178</v>
      </c>
      <c r="D541" s="175">
        <v>5000</v>
      </c>
      <c r="E541" s="247"/>
      <c r="F541" s="131">
        <v>5000</v>
      </c>
      <c r="G541" s="147">
        <f t="shared" ref="G541:G552" si="113">E541+F541</f>
        <v>5000</v>
      </c>
      <c r="H541" s="132">
        <f t="shared" ref="H541:H552" si="114">IFERROR(G541/D541*100-100,0)</f>
        <v>0</v>
      </c>
      <c r="I541" s="133"/>
      <c r="J541" s="148">
        <f t="shared" si="112"/>
        <v>0</v>
      </c>
    </row>
    <row r="542" spans="1:11" ht="131.25" x14ac:dyDescent="0.4">
      <c r="A542" s="190">
        <v>1</v>
      </c>
      <c r="B542" s="187" t="s">
        <v>539</v>
      </c>
      <c r="C542" s="29" t="s">
        <v>178</v>
      </c>
      <c r="D542" s="175">
        <v>64243.06</v>
      </c>
      <c r="E542" s="247">
        <v>8540.26</v>
      </c>
      <c r="F542" s="131">
        <v>36812.85</v>
      </c>
      <c r="G542" s="147">
        <f t="shared" si="113"/>
        <v>45353.11</v>
      </c>
      <c r="H542" s="132">
        <f t="shared" si="114"/>
        <v>-29.403876465411201</v>
      </c>
      <c r="I542" s="133"/>
      <c r="J542" s="148">
        <f t="shared" si="112"/>
        <v>0</v>
      </c>
    </row>
    <row r="543" spans="1:11" ht="78.75" x14ac:dyDescent="0.4">
      <c r="A543" s="190">
        <v>1</v>
      </c>
      <c r="B543" s="187" t="s">
        <v>540</v>
      </c>
      <c r="C543" s="29" t="s">
        <v>178</v>
      </c>
      <c r="D543" s="175">
        <v>3000</v>
      </c>
      <c r="E543" s="131"/>
      <c r="F543" s="131">
        <v>3000</v>
      </c>
      <c r="G543" s="147">
        <f t="shared" si="113"/>
        <v>3000</v>
      </c>
      <c r="H543" s="132">
        <f t="shared" si="114"/>
        <v>0</v>
      </c>
      <c r="I543" s="133"/>
      <c r="J543" s="148">
        <f t="shared" si="112"/>
        <v>0</v>
      </c>
    </row>
    <row r="544" spans="1:11" ht="78.75" x14ac:dyDescent="0.4">
      <c r="A544" s="188">
        <v>9</v>
      </c>
      <c r="B544" s="187" t="s">
        <v>541</v>
      </c>
      <c r="C544" s="29" t="s">
        <v>167</v>
      </c>
      <c r="D544" s="175"/>
      <c r="E544" s="131"/>
      <c r="F544" s="131"/>
      <c r="G544" s="147">
        <f t="shared" si="113"/>
        <v>0</v>
      </c>
      <c r="H544" s="132">
        <f t="shared" si="114"/>
        <v>0</v>
      </c>
      <c r="I544" s="133"/>
      <c r="J544" s="148">
        <f t="shared" si="112"/>
        <v>0</v>
      </c>
    </row>
    <row r="545" spans="1:11" ht="78.75" x14ac:dyDescent="0.4">
      <c r="A545" s="188">
        <v>6</v>
      </c>
      <c r="B545" s="187" t="s">
        <v>542</v>
      </c>
      <c r="C545" s="29" t="s">
        <v>167</v>
      </c>
      <c r="D545" s="175"/>
      <c r="E545" s="131"/>
      <c r="F545" s="131"/>
      <c r="G545" s="147">
        <f t="shared" si="113"/>
        <v>0</v>
      </c>
      <c r="H545" s="132">
        <f t="shared" si="114"/>
        <v>0</v>
      </c>
      <c r="I545" s="133"/>
      <c r="J545" s="148">
        <f t="shared" si="112"/>
        <v>0</v>
      </c>
    </row>
    <row r="546" spans="1:11" ht="78.75" x14ac:dyDescent="0.4">
      <c r="A546" s="188">
        <v>1000</v>
      </c>
      <c r="B546" s="29" t="s">
        <v>543</v>
      </c>
      <c r="C546" s="29" t="s">
        <v>165</v>
      </c>
      <c r="D546" s="175"/>
      <c r="E546" s="131"/>
      <c r="F546" s="131"/>
      <c r="G546" s="147">
        <f t="shared" si="113"/>
        <v>0</v>
      </c>
      <c r="H546" s="132">
        <f t="shared" si="114"/>
        <v>0</v>
      </c>
      <c r="I546" s="133"/>
      <c r="J546" s="148">
        <f t="shared" si="112"/>
        <v>0</v>
      </c>
    </row>
    <row r="547" spans="1:11" ht="131.25" x14ac:dyDescent="0.4">
      <c r="A547" s="190">
        <v>0.6</v>
      </c>
      <c r="B547" s="29" t="s">
        <v>544</v>
      </c>
      <c r="C547" s="29" t="s">
        <v>161</v>
      </c>
      <c r="D547" s="175"/>
      <c r="E547" s="131"/>
      <c r="F547" s="131"/>
      <c r="G547" s="147">
        <f t="shared" si="113"/>
        <v>0</v>
      </c>
      <c r="H547" s="132">
        <f t="shared" si="114"/>
        <v>0</v>
      </c>
      <c r="I547" s="133"/>
      <c r="J547" s="148">
        <f t="shared" si="112"/>
        <v>0</v>
      </c>
    </row>
    <row r="548" spans="1:11" ht="131.25" x14ac:dyDescent="0.4">
      <c r="A548" s="190">
        <v>0.25</v>
      </c>
      <c r="B548" s="29" t="s">
        <v>545</v>
      </c>
      <c r="C548" s="29" t="s">
        <v>161</v>
      </c>
      <c r="D548" s="175">
        <v>6000</v>
      </c>
      <c r="E548" s="131"/>
      <c r="F548" s="131">
        <v>6000</v>
      </c>
      <c r="G548" s="147">
        <f t="shared" si="113"/>
        <v>6000</v>
      </c>
      <c r="H548" s="132">
        <f t="shared" si="114"/>
        <v>0</v>
      </c>
      <c r="I548" s="133"/>
      <c r="J548" s="148">
        <f t="shared" si="112"/>
        <v>0</v>
      </c>
    </row>
    <row r="549" spans="1:11" ht="157.5" x14ac:dyDescent="0.4">
      <c r="A549" s="190">
        <v>0.8</v>
      </c>
      <c r="B549" s="29" t="s">
        <v>546</v>
      </c>
      <c r="C549" s="29" t="s">
        <v>161</v>
      </c>
      <c r="D549" s="175"/>
      <c r="E549" s="131"/>
      <c r="F549" s="131"/>
      <c r="G549" s="147">
        <f t="shared" si="113"/>
        <v>0</v>
      </c>
      <c r="H549" s="132">
        <f t="shared" si="114"/>
        <v>0</v>
      </c>
      <c r="I549" s="133"/>
      <c r="J549" s="148">
        <f t="shared" si="112"/>
        <v>0</v>
      </c>
    </row>
    <row r="550" spans="1:11" ht="105" x14ac:dyDescent="0.4">
      <c r="A550" s="190">
        <v>0.5</v>
      </c>
      <c r="B550" s="29" t="s">
        <v>547</v>
      </c>
      <c r="C550" s="29" t="s">
        <v>165</v>
      </c>
      <c r="D550" s="175"/>
      <c r="E550" s="131"/>
      <c r="F550" s="131"/>
      <c r="G550" s="147">
        <f t="shared" si="113"/>
        <v>0</v>
      </c>
      <c r="H550" s="132">
        <f t="shared" si="114"/>
        <v>0</v>
      </c>
      <c r="I550" s="133"/>
      <c r="J550" s="148">
        <f t="shared" si="112"/>
        <v>0</v>
      </c>
    </row>
    <row r="551" spans="1:11" ht="131.25" x14ac:dyDescent="0.4">
      <c r="A551" s="190">
        <v>0.5</v>
      </c>
      <c r="B551" s="29" t="s">
        <v>548</v>
      </c>
      <c r="C551" s="29" t="s">
        <v>165</v>
      </c>
      <c r="D551" s="175"/>
      <c r="E551" s="131"/>
      <c r="F551" s="131"/>
      <c r="G551" s="147">
        <f t="shared" si="113"/>
        <v>0</v>
      </c>
      <c r="H551" s="132">
        <f t="shared" si="114"/>
        <v>0</v>
      </c>
      <c r="I551" s="133"/>
      <c r="J551" s="148">
        <f t="shared" si="112"/>
        <v>0</v>
      </c>
    </row>
    <row r="552" spans="1:11" ht="105" x14ac:dyDescent="0.4">
      <c r="A552" s="188">
        <v>4</v>
      </c>
      <c r="B552" s="178" t="s">
        <v>549</v>
      </c>
      <c r="C552" s="29" t="s">
        <v>178</v>
      </c>
      <c r="D552" s="175"/>
      <c r="E552" s="131"/>
      <c r="F552" s="131"/>
      <c r="G552" s="147">
        <f t="shared" si="113"/>
        <v>0</v>
      </c>
      <c r="H552" s="132">
        <f t="shared" si="114"/>
        <v>0</v>
      </c>
      <c r="I552" s="133"/>
      <c r="J552" s="148">
        <f t="shared" si="112"/>
        <v>0</v>
      </c>
      <c r="K552" s="205"/>
    </row>
    <row r="553" spans="1:11" x14ac:dyDescent="0.4">
      <c r="A553" s="161" t="s">
        <v>0</v>
      </c>
      <c r="B553" s="161"/>
      <c r="C553" s="161"/>
      <c r="D553" s="120">
        <f>SUM(D540:D552)</f>
        <v>1268379.9100000001</v>
      </c>
      <c r="E553" s="120">
        <f>SUM(E540:E552)</f>
        <v>403623.94999999995</v>
      </c>
      <c r="F553" s="120">
        <f>SUM(F540:F552)</f>
        <v>845866.01000000013</v>
      </c>
      <c r="G553" s="120">
        <f>SUM(G540:G552)</f>
        <v>1249489.9600000002</v>
      </c>
      <c r="H553" s="120">
        <f t="shared" ref="H553" si="115">IFERROR(G553/D553*100-100,0)</f>
        <v>-1.4892974771257599</v>
      </c>
      <c r="I553" s="120">
        <f>SUM(I540:I552)</f>
        <v>0</v>
      </c>
      <c r="J553" s="120">
        <f t="shared" ref="J553" si="116">IFERROR(I553/G553*100,)</f>
        <v>0</v>
      </c>
      <c r="K553" s="255"/>
    </row>
    <row r="554" spans="1:11" x14ac:dyDescent="0.4">
      <c r="D554" s="162"/>
      <c r="E554" s="251"/>
      <c r="F554" s="251"/>
      <c r="G554" s="205"/>
      <c r="K554" s="205"/>
    </row>
    <row r="555" spans="1:11" x14ac:dyDescent="0.4">
      <c r="A555" s="755" t="s">
        <v>259</v>
      </c>
      <c r="B555" s="756"/>
      <c r="C555" s="163"/>
      <c r="D555" s="163"/>
      <c r="E555" s="163"/>
      <c r="F555" s="163"/>
      <c r="G555" s="163"/>
      <c r="H555" s="163"/>
      <c r="I555" s="163"/>
      <c r="J555" s="164"/>
    </row>
    <row r="556" spans="1:11" x14ac:dyDescent="0.4">
      <c r="A556" s="165"/>
      <c r="B556" s="166"/>
      <c r="C556" s="166"/>
      <c r="D556" s="166"/>
      <c r="E556" s="166"/>
      <c r="F556" s="166"/>
      <c r="G556" s="166"/>
      <c r="H556" s="166"/>
      <c r="I556" s="166"/>
      <c r="J556" s="167"/>
    </row>
    <row r="558" spans="1:11" ht="28.5" x14ac:dyDescent="0.4">
      <c r="A558" s="763" t="s">
        <v>77</v>
      </c>
      <c r="B558" s="757"/>
      <c r="C558" s="752" t="s">
        <v>763</v>
      </c>
      <c r="D558" s="753"/>
      <c r="E558" s="753"/>
      <c r="F558" s="753"/>
      <c r="G558" s="753"/>
      <c r="H558" s="753"/>
      <c r="I558" s="753"/>
      <c r="J558" s="754"/>
    </row>
    <row r="559" spans="1:11" ht="26.25" customHeight="1" x14ac:dyDescent="0.4">
      <c r="A559" s="757" t="s">
        <v>41</v>
      </c>
      <c r="B559" s="757"/>
      <c r="C559" s="752" t="s">
        <v>27</v>
      </c>
      <c r="D559" s="753"/>
      <c r="E559" s="753"/>
      <c r="F559" s="753"/>
      <c r="G559" s="753"/>
      <c r="H559" s="753"/>
      <c r="I559" s="753"/>
      <c r="J559" s="754"/>
    </row>
    <row r="560" spans="1:11" x14ac:dyDescent="0.4">
      <c r="A560" s="159"/>
      <c r="B560" s="159"/>
      <c r="C560" s="159"/>
      <c r="D560" s="68"/>
      <c r="E560" s="68"/>
      <c r="F560" s="68"/>
      <c r="G560" s="68"/>
      <c r="H560" s="68"/>
      <c r="I560" s="68" t="s">
        <v>208</v>
      </c>
      <c r="J560" s="68"/>
    </row>
    <row r="561" spans="1:11" x14ac:dyDescent="0.4">
      <c r="A561" s="758" t="s">
        <v>285</v>
      </c>
      <c r="B561" s="759"/>
      <c r="C561" s="759"/>
      <c r="D561" s="758" t="s">
        <v>286</v>
      </c>
      <c r="E561" s="759"/>
      <c r="F561" s="759"/>
      <c r="G561" s="759"/>
      <c r="H561" s="760"/>
      <c r="I561" s="764" t="s">
        <v>209</v>
      </c>
      <c r="J561" s="765"/>
    </row>
    <row r="562" spans="1:11" x14ac:dyDescent="0.4">
      <c r="A562" s="758" t="s">
        <v>83</v>
      </c>
      <c r="B562" s="759"/>
      <c r="C562" s="760"/>
      <c r="D562" s="766" t="s">
        <v>297</v>
      </c>
      <c r="E562" s="758" t="s">
        <v>298</v>
      </c>
      <c r="F562" s="759"/>
      <c r="G562" s="760"/>
      <c r="H562" s="768" t="s">
        <v>299</v>
      </c>
      <c r="I562" s="761" t="s">
        <v>300</v>
      </c>
      <c r="J562" s="761" t="s">
        <v>301</v>
      </c>
    </row>
    <row r="563" spans="1:11" ht="78.75" x14ac:dyDescent="0.4">
      <c r="A563" s="160" t="s">
        <v>183</v>
      </c>
      <c r="B563" s="160" t="s">
        <v>182</v>
      </c>
      <c r="C563" s="130" t="s">
        <v>124</v>
      </c>
      <c r="D563" s="767"/>
      <c r="E563" s="160" t="s">
        <v>692</v>
      </c>
      <c r="F563" s="160" t="s">
        <v>693</v>
      </c>
      <c r="G563" s="160" t="s">
        <v>192</v>
      </c>
      <c r="H563" s="768"/>
      <c r="I563" s="762"/>
      <c r="J563" s="762"/>
    </row>
    <row r="564" spans="1:11" ht="105" x14ac:dyDescent="0.4">
      <c r="A564" s="189">
        <v>1500</v>
      </c>
      <c r="B564" s="187" t="s">
        <v>550</v>
      </c>
      <c r="C564" s="29" t="s">
        <v>167</v>
      </c>
      <c r="D564" s="175">
        <v>10000</v>
      </c>
      <c r="E564" s="168">
        <v>0</v>
      </c>
      <c r="F564" s="168">
        <v>10000</v>
      </c>
      <c r="G564" s="147">
        <f>E564+F564</f>
        <v>10000</v>
      </c>
      <c r="H564" s="132">
        <f>IFERROR(G564/D564*100-100,0)</f>
        <v>0</v>
      </c>
      <c r="I564" s="169"/>
      <c r="J564" s="170">
        <f t="shared" ref="J564:J569" si="117">IFERROR(I564/G564*100,)</f>
        <v>0</v>
      </c>
    </row>
    <row r="565" spans="1:11" ht="105" x14ac:dyDescent="0.4">
      <c r="A565" s="189">
        <v>1500</v>
      </c>
      <c r="B565" s="187" t="s">
        <v>551</v>
      </c>
      <c r="C565" s="29" t="s">
        <v>167</v>
      </c>
      <c r="D565" s="175">
        <v>60000</v>
      </c>
      <c r="E565" s="247">
        <v>882.66</v>
      </c>
      <c r="F565" s="131">
        <v>31117.34</v>
      </c>
      <c r="G565" s="147">
        <f t="shared" ref="G565:G569" si="118">E565+F565</f>
        <v>32000</v>
      </c>
      <c r="H565" s="132">
        <f t="shared" ref="H565:H569" si="119">IFERROR(G565/D565*100-100,0)</f>
        <v>-46.666666666666664</v>
      </c>
      <c r="I565" s="133"/>
      <c r="J565" s="148">
        <f t="shared" si="117"/>
        <v>0</v>
      </c>
      <c r="K565" s="205"/>
    </row>
    <row r="566" spans="1:11" ht="131.25" x14ac:dyDescent="0.4">
      <c r="A566" s="189">
        <v>1500</v>
      </c>
      <c r="B566" s="187" t="s">
        <v>552</v>
      </c>
      <c r="C566" s="29" t="s">
        <v>167</v>
      </c>
      <c r="D566" s="175">
        <v>40000</v>
      </c>
      <c r="E566" s="247">
        <v>233.04</v>
      </c>
      <c r="F566" s="131">
        <v>39766.959999999999</v>
      </c>
      <c r="G566" s="147">
        <f t="shared" si="118"/>
        <v>40000</v>
      </c>
      <c r="H566" s="132">
        <f t="shared" si="119"/>
        <v>0</v>
      </c>
      <c r="I566" s="133"/>
      <c r="J566" s="148">
        <f t="shared" si="117"/>
        <v>0</v>
      </c>
    </row>
    <row r="567" spans="1:11" ht="157.5" x14ac:dyDescent="0.4">
      <c r="A567" s="189">
        <v>1500</v>
      </c>
      <c r="B567" s="187" t="s">
        <v>697</v>
      </c>
      <c r="C567" s="29" t="s">
        <v>167</v>
      </c>
      <c r="D567" s="175">
        <v>150000.00400000002</v>
      </c>
      <c r="E567" s="247">
        <v>33451.47</v>
      </c>
      <c r="F567" s="131">
        <v>116548.53400000001</v>
      </c>
      <c r="G567" s="147">
        <f t="shared" si="118"/>
        <v>150000.00400000002</v>
      </c>
      <c r="H567" s="132">
        <f t="shared" si="119"/>
        <v>0</v>
      </c>
      <c r="I567" s="133"/>
      <c r="J567" s="148">
        <f t="shared" si="117"/>
        <v>0</v>
      </c>
    </row>
    <row r="568" spans="1:11" ht="52.5" x14ac:dyDescent="0.4">
      <c r="A568" s="188">
        <v>90</v>
      </c>
      <c r="B568" s="187" t="s">
        <v>553</v>
      </c>
      <c r="C568" s="29" t="s">
        <v>167</v>
      </c>
      <c r="D568" s="175"/>
      <c r="E568" s="131"/>
      <c r="F568" s="131"/>
      <c r="G568" s="147">
        <f t="shared" si="118"/>
        <v>0</v>
      </c>
      <c r="H568" s="132">
        <f t="shared" si="119"/>
        <v>0</v>
      </c>
      <c r="I568" s="133"/>
      <c r="J568" s="148">
        <f t="shared" si="117"/>
        <v>0</v>
      </c>
    </row>
    <row r="569" spans="1:11" x14ac:dyDescent="0.4">
      <c r="A569" s="190">
        <v>1</v>
      </c>
      <c r="B569" s="187" t="s">
        <v>689</v>
      </c>
      <c r="C569" s="29" t="s">
        <v>178</v>
      </c>
      <c r="D569" s="175"/>
      <c r="E569" s="131">
        <v>0</v>
      </c>
      <c r="F569" s="247">
        <v>28000</v>
      </c>
      <c r="G569" s="147">
        <f t="shared" si="118"/>
        <v>28000</v>
      </c>
      <c r="H569" s="132">
        <f t="shared" si="119"/>
        <v>0</v>
      </c>
      <c r="I569" s="133"/>
      <c r="J569" s="148">
        <f t="shared" si="117"/>
        <v>0</v>
      </c>
    </row>
    <row r="570" spans="1:11" x14ac:dyDescent="0.4">
      <c r="A570" s="161" t="s">
        <v>0</v>
      </c>
      <c r="B570" s="161"/>
      <c r="C570" s="161"/>
      <c r="D570" s="120">
        <f>SUM(D564:D568)</f>
        <v>260000.00400000002</v>
      </c>
      <c r="E570" s="120">
        <f>SUM(E564:E569)</f>
        <v>34567.17</v>
      </c>
      <c r="F570" s="120">
        <f>SUM(F564:F569)</f>
        <v>225432.834</v>
      </c>
      <c r="G570" s="120">
        <f>SUM(G564:G569)</f>
        <v>260000.00400000002</v>
      </c>
      <c r="H570" s="120">
        <f>D570-G570</f>
        <v>0</v>
      </c>
      <c r="I570" s="120">
        <f>SUM(I564:I568)</f>
        <v>0</v>
      </c>
      <c r="J570" s="120">
        <f t="shared" ref="J570" si="120">IFERROR(I570/G570*100,)</f>
        <v>0</v>
      </c>
      <c r="K570" s="205"/>
    </row>
    <row r="571" spans="1:11" x14ac:dyDescent="0.4">
      <c r="E571" s="243"/>
      <c r="F571" s="243"/>
    </row>
    <row r="572" spans="1:11" x14ac:dyDescent="0.4">
      <c r="A572" s="755" t="s">
        <v>259</v>
      </c>
      <c r="B572" s="756"/>
      <c r="C572" s="163"/>
      <c r="D572" s="163"/>
      <c r="E572" s="163"/>
      <c r="F572" s="163"/>
      <c r="G572" s="163"/>
      <c r="H572" s="163"/>
      <c r="I572" s="163"/>
      <c r="J572" s="164"/>
    </row>
    <row r="573" spans="1:11" x14ac:dyDescent="0.4">
      <c r="A573" s="165"/>
      <c r="B573" s="166"/>
      <c r="C573" s="166"/>
      <c r="D573" s="166"/>
      <c r="E573" s="166"/>
      <c r="F573" s="166"/>
      <c r="G573" s="166"/>
      <c r="H573" s="166"/>
      <c r="I573" s="166"/>
      <c r="J573" s="167"/>
    </row>
    <row r="575" spans="1:11" ht="28.5" x14ac:dyDescent="0.4">
      <c r="A575" s="763" t="s">
        <v>77</v>
      </c>
      <c r="B575" s="757"/>
      <c r="C575" s="752" t="s">
        <v>554</v>
      </c>
      <c r="D575" s="753"/>
      <c r="E575" s="753"/>
      <c r="F575" s="753"/>
      <c r="G575" s="753"/>
      <c r="H575" s="753"/>
      <c r="I575" s="753"/>
      <c r="J575" s="754"/>
    </row>
    <row r="576" spans="1:11" ht="26.25" customHeight="1" x14ac:dyDescent="0.4">
      <c r="A576" s="757" t="s">
        <v>41</v>
      </c>
      <c r="B576" s="757"/>
      <c r="C576" s="752" t="s">
        <v>38</v>
      </c>
      <c r="D576" s="753"/>
      <c r="E576" s="753"/>
      <c r="F576" s="753"/>
      <c r="G576" s="753"/>
      <c r="H576" s="753"/>
      <c r="I576" s="753"/>
      <c r="J576" s="754"/>
    </row>
    <row r="577" spans="1:10" x14ac:dyDescent="0.4">
      <c r="A577" s="159"/>
      <c r="B577" s="159"/>
      <c r="C577" s="159"/>
      <c r="D577" s="68"/>
      <c r="E577" s="68"/>
      <c r="F577" s="68"/>
      <c r="G577" s="68"/>
      <c r="H577" s="68"/>
      <c r="I577" s="68" t="s">
        <v>208</v>
      </c>
      <c r="J577" s="68"/>
    </row>
    <row r="578" spans="1:10" x14ac:dyDescent="0.4">
      <c r="A578" s="758" t="s">
        <v>285</v>
      </c>
      <c r="B578" s="759"/>
      <c r="C578" s="759"/>
      <c r="D578" s="758" t="s">
        <v>286</v>
      </c>
      <c r="E578" s="759"/>
      <c r="F578" s="759"/>
      <c r="G578" s="759"/>
      <c r="H578" s="760"/>
      <c r="I578" s="764" t="s">
        <v>209</v>
      </c>
      <c r="J578" s="765"/>
    </row>
    <row r="579" spans="1:10" x14ac:dyDescent="0.4">
      <c r="A579" s="758" t="s">
        <v>83</v>
      </c>
      <c r="B579" s="759"/>
      <c r="C579" s="760"/>
      <c r="D579" s="766" t="s">
        <v>297</v>
      </c>
      <c r="E579" s="758" t="s">
        <v>298</v>
      </c>
      <c r="F579" s="759"/>
      <c r="G579" s="760"/>
      <c r="H579" s="768" t="s">
        <v>299</v>
      </c>
      <c r="I579" s="761" t="s">
        <v>300</v>
      </c>
      <c r="J579" s="761" t="s">
        <v>301</v>
      </c>
    </row>
    <row r="580" spans="1:10" ht="78.75" x14ac:dyDescent="0.4">
      <c r="A580" s="160" t="s">
        <v>183</v>
      </c>
      <c r="B580" s="160" t="s">
        <v>182</v>
      </c>
      <c r="C580" s="130" t="s">
        <v>124</v>
      </c>
      <c r="D580" s="767"/>
      <c r="E580" s="160" t="s">
        <v>692</v>
      </c>
      <c r="F580" s="160" t="s">
        <v>693</v>
      </c>
      <c r="G580" s="160" t="s">
        <v>192</v>
      </c>
      <c r="H580" s="768"/>
      <c r="I580" s="762"/>
      <c r="J580" s="762"/>
    </row>
    <row r="581" spans="1:10" ht="78.75" x14ac:dyDescent="0.4">
      <c r="A581" s="189">
        <v>30</v>
      </c>
      <c r="B581" s="178" t="s">
        <v>555</v>
      </c>
      <c r="C581" s="29" t="s">
        <v>178</v>
      </c>
      <c r="D581" s="175">
        <v>64800</v>
      </c>
      <c r="E581" s="249">
        <v>750</v>
      </c>
      <c r="F581" s="168">
        <v>79250</v>
      </c>
      <c r="G581" s="147">
        <f>E581+F581</f>
        <v>80000</v>
      </c>
      <c r="H581" s="132">
        <f>IFERROR(G581/D581*100-100,0)</f>
        <v>23.456790123456784</v>
      </c>
      <c r="I581" s="169"/>
      <c r="J581" s="170">
        <f t="shared" ref="J581:J582" si="121">IFERROR(I581/G581*100,)</f>
        <v>0</v>
      </c>
    </row>
    <row r="582" spans="1:10" ht="315" x14ac:dyDescent="0.4">
      <c r="A582" s="189">
        <v>6</v>
      </c>
      <c r="B582" s="178" t="s">
        <v>556</v>
      </c>
      <c r="C582" s="29" t="s">
        <v>178</v>
      </c>
      <c r="D582" s="175">
        <v>15200</v>
      </c>
      <c r="E582" s="131"/>
      <c r="F582" s="131"/>
      <c r="G582" s="147">
        <f>E582+F582</f>
        <v>0</v>
      </c>
      <c r="H582" s="132">
        <f>IFERROR(G582/D582*100-100,0)</f>
        <v>-100</v>
      </c>
      <c r="I582" s="133"/>
      <c r="J582" s="148">
        <f t="shared" si="121"/>
        <v>0</v>
      </c>
    </row>
    <row r="583" spans="1:10" x14ac:dyDescent="0.4">
      <c r="A583" s="161" t="s">
        <v>0</v>
      </c>
      <c r="B583" s="161"/>
      <c r="C583" s="161"/>
      <c r="D583" s="120">
        <f>SUM(D581:D582)</f>
        <v>80000</v>
      </c>
      <c r="E583" s="120">
        <f>SUM(E581:E582)</f>
        <v>750</v>
      </c>
      <c r="F583" s="120">
        <f>SUM(F581:F582)</f>
        <v>79250</v>
      </c>
      <c r="G583" s="120">
        <f>SUM(G581:G582)</f>
        <v>80000</v>
      </c>
      <c r="H583" s="120">
        <f>IFERROR(G583/D583*100-100,0)</f>
        <v>0</v>
      </c>
      <c r="I583" s="120">
        <f>SUM(I581:I582)</f>
        <v>0</v>
      </c>
      <c r="J583" s="120">
        <f t="shared" ref="J583" si="122">IFERROR(I583/G583*100,)</f>
        <v>0</v>
      </c>
    </row>
    <row r="584" spans="1:10" x14ac:dyDescent="0.4">
      <c r="D584" s="16">
        <f>'Quadro Geral'!J38</f>
        <v>80000</v>
      </c>
      <c r="E584" s="205"/>
      <c r="F584" s="205"/>
    </row>
    <row r="585" spans="1:10" x14ac:dyDescent="0.4">
      <c r="A585" s="755" t="s">
        <v>259</v>
      </c>
      <c r="B585" s="756"/>
      <c r="C585" s="163"/>
      <c r="D585" s="163"/>
      <c r="E585" s="163"/>
      <c r="F585" s="163"/>
      <c r="G585" s="163"/>
      <c r="H585" s="163"/>
      <c r="I585" s="163"/>
      <c r="J585" s="164"/>
    </row>
    <row r="586" spans="1:10" x14ac:dyDescent="0.4">
      <c r="A586" s="165"/>
      <c r="B586" s="166"/>
      <c r="C586" s="166"/>
      <c r="D586" s="166"/>
      <c r="E586" s="166"/>
      <c r="F586" s="166"/>
      <c r="G586" s="166"/>
      <c r="H586" s="166"/>
      <c r="I586" s="166"/>
      <c r="J586" s="167"/>
    </row>
    <row r="588" spans="1:10" ht="28.5" x14ac:dyDescent="0.4">
      <c r="A588" s="763" t="s">
        <v>77</v>
      </c>
      <c r="B588" s="757"/>
      <c r="C588" s="752" t="s">
        <v>557</v>
      </c>
      <c r="D588" s="753"/>
      <c r="E588" s="753"/>
      <c r="F588" s="753"/>
      <c r="G588" s="753"/>
      <c r="H588" s="753"/>
      <c r="I588" s="753"/>
      <c r="J588" s="754"/>
    </row>
    <row r="589" spans="1:10" ht="26.25" customHeight="1" x14ac:dyDescent="0.4">
      <c r="A589" s="757" t="s">
        <v>41</v>
      </c>
      <c r="B589" s="757"/>
      <c r="C589" s="752" t="s">
        <v>36</v>
      </c>
      <c r="D589" s="753"/>
      <c r="E589" s="753"/>
      <c r="F589" s="753"/>
      <c r="G589" s="753"/>
      <c r="H589" s="753"/>
      <c r="I589" s="753"/>
      <c r="J589" s="754"/>
    </row>
    <row r="590" spans="1:10" x14ac:dyDescent="0.4">
      <c r="A590" s="185"/>
      <c r="B590" s="185"/>
      <c r="C590" s="185"/>
      <c r="D590" s="68"/>
      <c r="E590" s="68"/>
      <c r="F590" s="68"/>
      <c r="G590" s="68"/>
      <c r="H590" s="68"/>
      <c r="I590" s="68" t="s">
        <v>208</v>
      </c>
      <c r="J590" s="68"/>
    </row>
    <row r="591" spans="1:10" x14ac:dyDescent="0.4">
      <c r="A591" s="758" t="s">
        <v>285</v>
      </c>
      <c r="B591" s="759"/>
      <c r="C591" s="759"/>
      <c r="D591" s="758" t="s">
        <v>286</v>
      </c>
      <c r="E591" s="759"/>
      <c r="F591" s="759"/>
      <c r="G591" s="759"/>
      <c r="H591" s="760"/>
      <c r="I591" s="764" t="s">
        <v>209</v>
      </c>
      <c r="J591" s="765"/>
    </row>
    <row r="592" spans="1:10" x14ac:dyDescent="0.4">
      <c r="A592" s="758" t="s">
        <v>83</v>
      </c>
      <c r="B592" s="759"/>
      <c r="C592" s="760"/>
      <c r="D592" s="766" t="s">
        <v>297</v>
      </c>
      <c r="E592" s="758" t="s">
        <v>298</v>
      </c>
      <c r="F592" s="759"/>
      <c r="G592" s="760"/>
      <c r="H592" s="768" t="s">
        <v>299</v>
      </c>
      <c r="I592" s="761" t="s">
        <v>300</v>
      </c>
      <c r="J592" s="761" t="s">
        <v>301</v>
      </c>
    </row>
    <row r="593" spans="1:11" ht="78.75" x14ac:dyDescent="0.4">
      <c r="A593" s="179" t="s">
        <v>183</v>
      </c>
      <c r="B593" s="179" t="s">
        <v>182</v>
      </c>
      <c r="C593" s="130" t="s">
        <v>124</v>
      </c>
      <c r="D593" s="767"/>
      <c r="E593" s="179" t="s">
        <v>692</v>
      </c>
      <c r="F593" s="179" t="s">
        <v>693</v>
      </c>
      <c r="G593" s="179" t="s">
        <v>192</v>
      </c>
      <c r="H593" s="768"/>
      <c r="I593" s="762"/>
      <c r="J593" s="762"/>
    </row>
    <row r="594" spans="1:11" ht="131.25" x14ac:dyDescent="0.4">
      <c r="A594" s="189">
        <v>7</v>
      </c>
      <c r="B594" s="178" t="s">
        <v>558</v>
      </c>
      <c r="C594" s="29" t="s">
        <v>178</v>
      </c>
      <c r="D594" s="175">
        <v>12000</v>
      </c>
      <c r="E594" s="168"/>
      <c r="F594" s="249">
        <v>42720</v>
      </c>
      <c r="G594" s="147">
        <f>E594+F594</f>
        <v>42720</v>
      </c>
      <c r="H594" s="132">
        <f t="shared" ref="H594" si="123">IFERROR(G594/D594*100-100,0)</f>
        <v>256</v>
      </c>
      <c r="I594" s="169"/>
      <c r="J594" s="170"/>
    </row>
    <row r="595" spans="1:11" x14ac:dyDescent="0.4">
      <c r="A595" s="186" t="s">
        <v>0</v>
      </c>
      <c r="B595" s="186"/>
      <c r="C595" s="186"/>
      <c r="D595" s="120">
        <f>SUM(D594:D594)</f>
        <v>12000</v>
      </c>
      <c r="E595" s="120">
        <f>SUM(E594:E594)</f>
        <v>0</v>
      </c>
      <c r="F595" s="120">
        <f>SUM(F594:F594)</f>
        <v>42720</v>
      </c>
      <c r="G595" s="120">
        <f>SUM(G594:G594)</f>
        <v>42720</v>
      </c>
      <c r="H595" s="120">
        <f>IFERROR(G595/D595*100-100,0)</f>
        <v>256</v>
      </c>
      <c r="I595" s="120">
        <f>SUM(I594:I594)</f>
        <v>0</v>
      </c>
      <c r="J595" s="120">
        <f t="shared" ref="J595" si="124">IFERROR(I595/G595*100,)</f>
        <v>0</v>
      </c>
      <c r="K595" s="205"/>
    </row>
    <row r="596" spans="1:11" x14ac:dyDescent="0.4">
      <c r="D596" s="243"/>
      <c r="E596" s="243"/>
      <c r="F596" s="243"/>
    </row>
    <row r="597" spans="1:11" x14ac:dyDescent="0.4">
      <c r="A597" s="755" t="s">
        <v>259</v>
      </c>
      <c r="B597" s="756"/>
      <c r="C597" s="180"/>
      <c r="D597" s="180"/>
      <c r="E597" s="180"/>
      <c r="F597" s="180"/>
      <c r="G597" s="180"/>
      <c r="H597" s="180"/>
      <c r="I597" s="180"/>
      <c r="J597" s="181"/>
    </row>
    <row r="598" spans="1:11" x14ac:dyDescent="0.4">
      <c r="A598" s="182"/>
      <c r="B598" s="183"/>
      <c r="C598" s="183"/>
      <c r="D598" s="183"/>
      <c r="E598" s="183"/>
      <c r="F598" s="183"/>
      <c r="G598" s="183"/>
      <c r="H598" s="183"/>
      <c r="I598" s="183"/>
      <c r="J598" s="184"/>
    </row>
    <row r="600" spans="1:11" ht="28.5" x14ac:dyDescent="0.4">
      <c r="A600" s="763" t="s">
        <v>77</v>
      </c>
      <c r="B600" s="757"/>
      <c r="C600" s="752" t="s">
        <v>559</v>
      </c>
      <c r="D600" s="753"/>
      <c r="E600" s="753"/>
      <c r="F600" s="753"/>
      <c r="G600" s="753"/>
      <c r="H600" s="753"/>
      <c r="I600" s="753"/>
      <c r="J600" s="754"/>
    </row>
    <row r="601" spans="1:11" ht="26.25" customHeight="1" x14ac:dyDescent="0.4">
      <c r="A601" s="757" t="s">
        <v>41</v>
      </c>
      <c r="B601" s="757"/>
      <c r="C601" s="752" t="s">
        <v>140</v>
      </c>
      <c r="D601" s="753"/>
      <c r="E601" s="753"/>
      <c r="F601" s="753"/>
      <c r="G601" s="753"/>
      <c r="H601" s="753"/>
      <c r="I601" s="753"/>
      <c r="J601" s="754"/>
    </row>
    <row r="602" spans="1:11" x14ac:dyDescent="0.4">
      <c r="A602" s="185"/>
      <c r="B602" s="185"/>
      <c r="C602" s="185"/>
      <c r="D602" s="68"/>
      <c r="E602" s="68"/>
      <c r="F602" s="68"/>
      <c r="G602" s="68"/>
      <c r="H602" s="68"/>
      <c r="I602" s="68" t="s">
        <v>208</v>
      </c>
      <c r="J602" s="68"/>
    </row>
    <row r="603" spans="1:11" x14ac:dyDescent="0.4">
      <c r="A603" s="758" t="s">
        <v>285</v>
      </c>
      <c r="B603" s="759"/>
      <c r="C603" s="759"/>
      <c r="D603" s="758" t="s">
        <v>286</v>
      </c>
      <c r="E603" s="759"/>
      <c r="F603" s="759"/>
      <c r="G603" s="759"/>
      <c r="H603" s="760"/>
      <c r="I603" s="764" t="s">
        <v>209</v>
      </c>
      <c r="J603" s="765"/>
    </row>
    <row r="604" spans="1:11" x14ac:dyDescent="0.4">
      <c r="A604" s="758" t="s">
        <v>83</v>
      </c>
      <c r="B604" s="759"/>
      <c r="C604" s="760"/>
      <c r="D604" s="766" t="s">
        <v>297</v>
      </c>
      <c r="E604" s="758" t="s">
        <v>298</v>
      </c>
      <c r="F604" s="759"/>
      <c r="G604" s="760"/>
      <c r="H604" s="768" t="s">
        <v>299</v>
      </c>
      <c r="I604" s="761" t="s">
        <v>300</v>
      </c>
      <c r="J604" s="761" t="s">
        <v>301</v>
      </c>
    </row>
    <row r="605" spans="1:11" ht="78.75" x14ac:dyDescent="0.4">
      <c r="A605" s="179" t="s">
        <v>183</v>
      </c>
      <c r="B605" s="179" t="s">
        <v>182</v>
      </c>
      <c r="C605" s="130" t="s">
        <v>124</v>
      </c>
      <c r="D605" s="767"/>
      <c r="E605" s="179" t="s">
        <v>692</v>
      </c>
      <c r="F605" s="179" t="s">
        <v>693</v>
      </c>
      <c r="G605" s="179" t="s">
        <v>192</v>
      </c>
      <c r="H605" s="768"/>
      <c r="I605" s="762"/>
      <c r="J605" s="762"/>
    </row>
    <row r="606" spans="1:11" ht="105" x14ac:dyDescent="0.4">
      <c r="A606" s="189">
        <v>30</v>
      </c>
      <c r="B606" s="178" t="s">
        <v>560</v>
      </c>
      <c r="C606" s="29" t="s">
        <v>141</v>
      </c>
      <c r="D606" s="175">
        <v>12150</v>
      </c>
      <c r="E606" s="168"/>
      <c r="F606" s="168">
        <v>7290</v>
      </c>
      <c r="G606" s="147">
        <f>E606+F606</f>
        <v>7290</v>
      </c>
      <c r="H606" s="132">
        <f>IFERROR(G606/D606*100-100,0)</f>
        <v>-40</v>
      </c>
      <c r="I606" s="169"/>
      <c r="J606" s="170">
        <f t="shared" ref="J606:J609" si="125">IFERROR(I606/G606*100,)</f>
        <v>0</v>
      </c>
      <c r="K606" s="205"/>
    </row>
    <row r="607" spans="1:11" ht="131.25" x14ac:dyDescent="0.4">
      <c r="A607" s="189">
        <v>10</v>
      </c>
      <c r="B607" s="178" t="s">
        <v>561</v>
      </c>
      <c r="C607" s="29" t="s">
        <v>141</v>
      </c>
      <c r="D607" s="175"/>
      <c r="E607" s="168"/>
      <c r="F607" s="168"/>
      <c r="G607" s="147">
        <f t="shared" ref="G607:G609" si="126">E607+F607</f>
        <v>0</v>
      </c>
      <c r="H607" s="132">
        <f t="shared" ref="H607:H609" si="127">IFERROR(G607/D607*100-100,0)</f>
        <v>0</v>
      </c>
      <c r="I607" s="169"/>
      <c r="J607" s="170">
        <f t="shared" si="125"/>
        <v>0</v>
      </c>
      <c r="K607" s="205"/>
    </row>
    <row r="608" spans="1:11" ht="78.75" x14ac:dyDescent="0.4">
      <c r="A608" s="241">
        <v>30</v>
      </c>
      <c r="B608" s="209" t="s">
        <v>562</v>
      </c>
      <c r="C608" s="29" t="s">
        <v>141</v>
      </c>
      <c r="D608" s="175">
        <v>11800</v>
      </c>
      <c r="E608" s="249">
        <v>618.17000000000007</v>
      </c>
      <c r="F608" s="168">
        <v>6709.1</v>
      </c>
      <c r="G608" s="147">
        <f t="shared" si="126"/>
        <v>7327.27</v>
      </c>
      <c r="H608" s="132">
        <f t="shared" si="127"/>
        <v>-37.904491525423722</v>
      </c>
      <c r="I608" s="169"/>
      <c r="J608" s="170">
        <f t="shared" si="125"/>
        <v>0</v>
      </c>
      <c r="K608" s="205"/>
    </row>
    <row r="609" spans="1:12" ht="105" x14ac:dyDescent="0.4">
      <c r="A609" s="188">
        <v>5</v>
      </c>
      <c r="B609" s="178" t="s">
        <v>563</v>
      </c>
      <c r="C609" s="29" t="s">
        <v>141</v>
      </c>
      <c r="D609" s="175">
        <v>4050</v>
      </c>
      <c r="E609" s="168"/>
      <c r="F609" s="168">
        <v>2430</v>
      </c>
      <c r="G609" s="147">
        <f t="shared" si="126"/>
        <v>2430</v>
      </c>
      <c r="H609" s="132">
        <f t="shared" si="127"/>
        <v>-40</v>
      </c>
      <c r="I609" s="169"/>
      <c r="J609" s="170">
        <f t="shared" si="125"/>
        <v>0</v>
      </c>
      <c r="K609" s="205"/>
    </row>
    <row r="610" spans="1:12" x14ac:dyDescent="0.4">
      <c r="A610" s="186" t="s">
        <v>0</v>
      </c>
      <c r="B610" s="186"/>
      <c r="C610" s="186"/>
      <c r="D610" s="120">
        <f>SUM(D606:D609)</f>
        <v>28000</v>
      </c>
      <c r="E610" s="120">
        <f>SUM(E606:E609)</f>
        <v>618.17000000000007</v>
      </c>
      <c r="F610" s="120">
        <f>SUM(F606:F609)</f>
        <v>16429.099999999999</v>
      </c>
      <c r="G610" s="120">
        <f>SUM(G606:G609)</f>
        <v>17047.27</v>
      </c>
      <c r="H610" s="120">
        <f t="shared" ref="H610" si="128">IFERROR(G610/D610*100-100,0)</f>
        <v>-39.116892857142858</v>
      </c>
      <c r="I610" s="120">
        <f>SUM(I606:I609)</f>
        <v>0</v>
      </c>
      <c r="J610" s="120">
        <f t="shared" ref="J610" si="129">IFERROR(I610/G610*100,)</f>
        <v>0</v>
      </c>
      <c r="K610" s="205"/>
      <c r="L610" s="205"/>
    </row>
    <row r="611" spans="1:12" x14ac:dyDescent="0.4">
      <c r="E611" s="205"/>
    </row>
    <row r="612" spans="1:12" x14ac:dyDescent="0.4">
      <c r="A612" s="755" t="s">
        <v>259</v>
      </c>
      <c r="B612" s="756"/>
      <c r="C612" s="180"/>
      <c r="D612" s="180"/>
      <c r="E612" s="180"/>
      <c r="F612" s="180"/>
      <c r="G612" s="180"/>
      <c r="H612" s="180"/>
      <c r="I612" s="180"/>
      <c r="J612" s="181"/>
    </row>
    <row r="613" spans="1:12" x14ac:dyDescent="0.4">
      <c r="A613" s="182"/>
      <c r="B613" s="183"/>
      <c r="C613" s="183"/>
      <c r="D613" s="183"/>
      <c r="E613" s="183"/>
      <c r="F613" s="183"/>
      <c r="G613" s="183"/>
      <c r="H613" s="183"/>
      <c r="I613" s="183"/>
      <c r="J613" s="184"/>
    </row>
    <row r="615" spans="1:12" ht="28.5" x14ac:dyDescent="0.4">
      <c r="A615" s="763" t="s">
        <v>77</v>
      </c>
      <c r="B615" s="757"/>
      <c r="C615" s="752" t="s">
        <v>564</v>
      </c>
      <c r="D615" s="753"/>
      <c r="E615" s="753"/>
      <c r="F615" s="753"/>
      <c r="G615" s="753"/>
      <c r="H615" s="753"/>
      <c r="I615" s="753"/>
      <c r="J615" s="754"/>
    </row>
    <row r="616" spans="1:12" ht="26.25" customHeight="1" x14ac:dyDescent="0.4">
      <c r="A616" s="757" t="s">
        <v>41</v>
      </c>
      <c r="B616" s="757"/>
      <c r="C616" s="752" t="s">
        <v>33</v>
      </c>
      <c r="D616" s="753"/>
      <c r="E616" s="753"/>
      <c r="F616" s="753"/>
      <c r="G616" s="753"/>
      <c r="H616" s="753"/>
      <c r="I616" s="753"/>
      <c r="J616" s="754"/>
    </row>
    <row r="617" spans="1:12" x14ac:dyDescent="0.4">
      <c r="A617" s="185"/>
      <c r="B617" s="185"/>
      <c r="C617" s="185"/>
      <c r="D617" s="68"/>
      <c r="E617" s="68"/>
      <c r="F617" s="68"/>
      <c r="G617" s="68"/>
      <c r="H617" s="68"/>
      <c r="I617" s="68" t="s">
        <v>208</v>
      </c>
      <c r="J617" s="68"/>
    </row>
    <row r="618" spans="1:12" x14ac:dyDescent="0.4">
      <c r="A618" s="758" t="s">
        <v>285</v>
      </c>
      <c r="B618" s="759"/>
      <c r="C618" s="759"/>
      <c r="D618" s="758" t="s">
        <v>286</v>
      </c>
      <c r="E618" s="759"/>
      <c r="F618" s="759"/>
      <c r="G618" s="759"/>
      <c r="H618" s="760"/>
      <c r="I618" s="764" t="s">
        <v>209</v>
      </c>
      <c r="J618" s="765"/>
    </row>
    <row r="619" spans="1:12" x14ac:dyDescent="0.4">
      <c r="A619" s="758" t="s">
        <v>83</v>
      </c>
      <c r="B619" s="759"/>
      <c r="C619" s="760"/>
      <c r="D619" s="766" t="s">
        <v>297</v>
      </c>
      <c r="E619" s="758" t="s">
        <v>298</v>
      </c>
      <c r="F619" s="759"/>
      <c r="G619" s="760"/>
      <c r="H619" s="768" t="s">
        <v>299</v>
      </c>
      <c r="I619" s="761" t="s">
        <v>300</v>
      </c>
      <c r="J619" s="761" t="s">
        <v>301</v>
      </c>
    </row>
    <row r="620" spans="1:12" ht="78.75" x14ac:dyDescent="0.4">
      <c r="A620" s="179" t="s">
        <v>183</v>
      </c>
      <c r="B620" s="179" t="s">
        <v>182</v>
      </c>
      <c r="C620" s="130" t="s">
        <v>124</v>
      </c>
      <c r="D620" s="767"/>
      <c r="E620" s="179" t="s">
        <v>692</v>
      </c>
      <c r="F620" s="179" t="s">
        <v>693</v>
      </c>
      <c r="G620" s="179" t="s">
        <v>192</v>
      </c>
      <c r="H620" s="768"/>
      <c r="I620" s="762"/>
      <c r="J620" s="762"/>
    </row>
    <row r="621" spans="1:12" ht="105" x14ac:dyDescent="0.4">
      <c r="A621" s="327">
        <v>50</v>
      </c>
      <c r="B621" s="209" t="s">
        <v>565</v>
      </c>
      <c r="C621" s="29" t="s">
        <v>159</v>
      </c>
      <c r="D621" s="175">
        <v>13254.552</v>
      </c>
      <c r="E621" s="249">
        <v>1087.05</v>
      </c>
      <c r="F621" s="168">
        <v>9247.3019999999997</v>
      </c>
      <c r="G621" s="147">
        <f>E621+F621</f>
        <v>10334.351999999999</v>
      </c>
      <c r="H621" s="132">
        <f>IFERROR(G621/D621*100-100,0)</f>
        <v>-22.03167636295818</v>
      </c>
      <c r="I621" s="169"/>
      <c r="J621" s="170"/>
      <c r="K621" s="205"/>
    </row>
    <row r="622" spans="1:12" ht="131.25" x14ac:dyDescent="0.4">
      <c r="A622" s="189">
        <v>60</v>
      </c>
      <c r="B622" s="178" t="s">
        <v>566</v>
      </c>
      <c r="C622" s="29" t="s">
        <v>159</v>
      </c>
      <c r="D622" s="175">
        <v>11045.448</v>
      </c>
      <c r="E622" s="168"/>
      <c r="F622" s="168">
        <v>6627.268</v>
      </c>
      <c r="G622" s="147">
        <f t="shared" ref="G622:G624" si="130">E622+F622</f>
        <v>6627.268</v>
      </c>
      <c r="H622" s="132">
        <f t="shared" ref="H622:H624" si="131">IFERROR(G622/D622*100-100,0)</f>
        <v>-40.000007242802646</v>
      </c>
      <c r="I622" s="169"/>
      <c r="J622" s="170"/>
      <c r="K622" s="205"/>
    </row>
    <row r="623" spans="1:12" ht="78.75" x14ac:dyDescent="0.4">
      <c r="A623" s="188">
        <v>1</v>
      </c>
      <c r="B623" s="209" t="s">
        <v>567</v>
      </c>
      <c r="C623" s="29" t="s">
        <v>159</v>
      </c>
      <c r="D623" s="175">
        <v>11600</v>
      </c>
      <c r="E623" s="168"/>
      <c r="F623" s="168">
        <v>6960</v>
      </c>
      <c r="G623" s="147">
        <f t="shared" si="130"/>
        <v>6960</v>
      </c>
      <c r="H623" s="132">
        <f t="shared" si="131"/>
        <v>-40</v>
      </c>
      <c r="I623" s="169"/>
      <c r="J623" s="170"/>
      <c r="K623" s="205"/>
    </row>
    <row r="624" spans="1:12" ht="157.5" x14ac:dyDescent="0.4">
      <c r="A624" s="188">
        <v>1</v>
      </c>
      <c r="B624" s="178" t="s">
        <v>568</v>
      </c>
      <c r="C624" s="29" t="s">
        <v>159</v>
      </c>
      <c r="D624" s="175">
        <v>8100</v>
      </c>
      <c r="E624" s="168"/>
      <c r="F624" s="168">
        <v>4860</v>
      </c>
      <c r="G624" s="147">
        <f t="shared" si="130"/>
        <v>4860</v>
      </c>
      <c r="H624" s="132">
        <f t="shared" si="131"/>
        <v>-40</v>
      </c>
      <c r="I624" s="169"/>
      <c r="J624" s="170"/>
      <c r="K624" s="205"/>
    </row>
    <row r="625" spans="1:12" x14ac:dyDescent="0.4">
      <c r="A625" s="186" t="s">
        <v>0</v>
      </c>
      <c r="B625" s="186"/>
      <c r="C625" s="186"/>
      <c r="D625" s="120">
        <f>SUM(D621:D624)</f>
        <v>44000</v>
      </c>
      <c r="E625" s="120">
        <f>SUM(E621:E624)</f>
        <v>1087.05</v>
      </c>
      <c r="F625" s="120">
        <f>SUM(F621:F624)</f>
        <v>27694.57</v>
      </c>
      <c r="G625" s="120">
        <f>SUM(G621:G624)</f>
        <v>28781.62</v>
      </c>
      <c r="H625" s="120">
        <f>IFERROR(G625/D625*100-100,0)</f>
        <v>-34.587227272727276</v>
      </c>
      <c r="I625" s="120">
        <f>SUM(I621:I624)</f>
        <v>0</v>
      </c>
      <c r="J625" s="120">
        <f t="shared" ref="J625" si="132">IFERROR(I625/G625*100,)</f>
        <v>0</v>
      </c>
      <c r="K625" s="205"/>
      <c r="L625" s="205"/>
    </row>
    <row r="626" spans="1:12" x14ac:dyDescent="0.4">
      <c r="D626" s="243"/>
      <c r="E626" s="243"/>
      <c r="H626" s="205"/>
    </row>
    <row r="627" spans="1:12" x14ac:dyDescent="0.4">
      <c r="A627" s="755" t="s">
        <v>259</v>
      </c>
      <c r="B627" s="756"/>
      <c r="C627" s="180"/>
      <c r="D627" s="180"/>
      <c r="E627" s="180"/>
      <c r="F627" s="180"/>
      <c r="G627" s="180"/>
      <c r="H627" s="180"/>
      <c r="I627" s="180"/>
      <c r="J627" s="181"/>
    </row>
    <row r="628" spans="1:12" x14ac:dyDescent="0.4">
      <c r="A628" s="182"/>
      <c r="B628" s="183"/>
      <c r="C628" s="183"/>
      <c r="D628" s="183"/>
      <c r="E628" s="183"/>
      <c r="F628" s="183"/>
      <c r="G628" s="183"/>
      <c r="H628" s="183"/>
      <c r="I628" s="183"/>
      <c r="J628" s="184"/>
    </row>
    <row r="630" spans="1:12" ht="28.5" x14ac:dyDescent="0.4">
      <c r="A630" s="763" t="s">
        <v>77</v>
      </c>
      <c r="B630" s="757"/>
      <c r="C630" s="752" t="s">
        <v>569</v>
      </c>
      <c r="D630" s="753"/>
      <c r="E630" s="753"/>
      <c r="F630" s="753"/>
      <c r="G630" s="753"/>
      <c r="H630" s="753"/>
      <c r="I630" s="753"/>
      <c r="J630" s="754"/>
    </row>
    <row r="631" spans="1:12" ht="26.25" customHeight="1" x14ac:dyDescent="0.4">
      <c r="A631" s="757" t="s">
        <v>41</v>
      </c>
      <c r="B631" s="757"/>
      <c r="C631" s="752" t="s">
        <v>37</v>
      </c>
      <c r="D631" s="753"/>
      <c r="E631" s="753"/>
      <c r="F631" s="753"/>
      <c r="G631" s="753"/>
      <c r="H631" s="753"/>
      <c r="I631" s="753"/>
      <c r="J631" s="754"/>
    </row>
    <row r="632" spans="1:12" x14ac:dyDescent="0.4">
      <c r="A632" s="185"/>
      <c r="B632" s="185"/>
      <c r="C632" s="185"/>
      <c r="D632" s="68"/>
      <c r="E632" s="68"/>
      <c r="F632" s="68"/>
      <c r="G632" s="68"/>
      <c r="H632" s="68"/>
      <c r="I632" s="68" t="s">
        <v>208</v>
      </c>
      <c r="J632" s="68"/>
    </row>
    <row r="633" spans="1:12" x14ac:dyDescent="0.4">
      <c r="A633" s="758" t="s">
        <v>285</v>
      </c>
      <c r="B633" s="759"/>
      <c r="C633" s="759"/>
      <c r="D633" s="758" t="s">
        <v>286</v>
      </c>
      <c r="E633" s="759"/>
      <c r="F633" s="759"/>
      <c r="G633" s="759"/>
      <c r="H633" s="760"/>
      <c r="I633" s="764" t="s">
        <v>209</v>
      </c>
      <c r="J633" s="765"/>
    </row>
    <row r="634" spans="1:12" x14ac:dyDescent="0.4">
      <c r="A634" s="758" t="s">
        <v>83</v>
      </c>
      <c r="B634" s="759"/>
      <c r="C634" s="760"/>
      <c r="D634" s="766" t="s">
        <v>297</v>
      </c>
      <c r="E634" s="758" t="s">
        <v>298</v>
      </c>
      <c r="F634" s="759"/>
      <c r="G634" s="760"/>
      <c r="H634" s="768" t="s">
        <v>299</v>
      </c>
      <c r="I634" s="761" t="s">
        <v>300</v>
      </c>
      <c r="J634" s="761" t="s">
        <v>301</v>
      </c>
    </row>
    <row r="635" spans="1:12" ht="78.75" x14ac:dyDescent="0.4">
      <c r="A635" s="179" t="s">
        <v>183</v>
      </c>
      <c r="B635" s="179" t="s">
        <v>182</v>
      </c>
      <c r="C635" s="130" t="s">
        <v>124</v>
      </c>
      <c r="D635" s="767"/>
      <c r="E635" s="179" t="s">
        <v>692</v>
      </c>
      <c r="F635" s="179" t="s">
        <v>693</v>
      </c>
      <c r="G635" s="179" t="s">
        <v>192</v>
      </c>
      <c r="H635" s="768"/>
      <c r="I635" s="762"/>
      <c r="J635" s="762"/>
    </row>
    <row r="636" spans="1:12" ht="78.75" x14ac:dyDescent="0.4">
      <c r="A636" s="189">
        <v>15</v>
      </c>
      <c r="B636" s="178" t="s">
        <v>570</v>
      </c>
      <c r="C636" s="29" t="s">
        <v>178</v>
      </c>
      <c r="D636" s="175">
        <v>21049.97</v>
      </c>
      <c r="E636" s="168"/>
      <c r="F636" s="168">
        <v>21049.97</v>
      </c>
      <c r="G636" s="147">
        <f>E636+F636</f>
        <v>21049.97</v>
      </c>
      <c r="H636" s="132">
        <f>IFERROR(G636/D636*100-100,0)</f>
        <v>0</v>
      </c>
      <c r="I636" s="169"/>
      <c r="J636" s="170"/>
      <c r="K636" s="205"/>
    </row>
    <row r="637" spans="1:12" ht="78.75" x14ac:dyDescent="0.4">
      <c r="A637" s="189">
        <v>15</v>
      </c>
      <c r="B637" s="178" t="s">
        <v>571</v>
      </c>
      <c r="C637" s="29" t="s">
        <v>178</v>
      </c>
      <c r="D637" s="175">
        <v>21049.97</v>
      </c>
      <c r="E637" s="168"/>
      <c r="F637" s="168">
        <v>21049.97</v>
      </c>
      <c r="G637" s="147">
        <f t="shared" ref="G637:G647" si="133">E637+F637</f>
        <v>21049.97</v>
      </c>
      <c r="H637" s="132">
        <f t="shared" ref="H637:H647" si="134">IFERROR(G637/D637*100-100,0)</f>
        <v>0</v>
      </c>
      <c r="I637" s="169"/>
      <c r="J637" s="170"/>
    </row>
    <row r="638" spans="1:12" ht="78.75" x14ac:dyDescent="0.4">
      <c r="A638" s="188">
        <v>25</v>
      </c>
      <c r="B638" s="178" t="s">
        <v>572</v>
      </c>
      <c r="C638" s="29" t="s">
        <v>178</v>
      </c>
      <c r="D638" s="175">
        <v>35083.29</v>
      </c>
      <c r="E638" s="168"/>
      <c r="F638" s="168"/>
      <c r="G638" s="147">
        <f t="shared" si="133"/>
        <v>0</v>
      </c>
      <c r="H638" s="132">
        <f t="shared" si="134"/>
        <v>-100</v>
      </c>
      <c r="I638" s="169"/>
      <c r="J638" s="170"/>
    </row>
    <row r="639" spans="1:12" ht="52.5" x14ac:dyDescent="0.4">
      <c r="A639" s="188">
        <v>30</v>
      </c>
      <c r="B639" s="29" t="s">
        <v>573</v>
      </c>
      <c r="C639" s="29" t="s">
        <v>178</v>
      </c>
      <c r="D639" s="175">
        <v>42099.94</v>
      </c>
      <c r="E639" s="168"/>
      <c r="F639" s="168">
        <v>10183.23</v>
      </c>
      <c r="G639" s="147">
        <f t="shared" si="133"/>
        <v>10183.23</v>
      </c>
      <c r="H639" s="132">
        <f t="shared" si="134"/>
        <v>-75.811770753117457</v>
      </c>
      <c r="I639" s="169"/>
      <c r="J639" s="170"/>
    </row>
    <row r="640" spans="1:12" x14ac:dyDescent="0.4">
      <c r="A640" s="188">
        <v>3</v>
      </c>
      <c r="B640" s="29" t="s">
        <v>586</v>
      </c>
      <c r="C640" s="29" t="s">
        <v>178</v>
      </c>
      <c r="D640" s="175"/>
      <c r="E640" s="168"/>
      <c r="F640" s="168"/>
      <c r="G640" s="147">
        <f t="shared" si="133"/>
        <v>0</v>
      </c>
      <c r="H640" s="132">
        <f t="shared" si="134"/>
        <v>0</v>
      </c>
      <c r="I640" s="169"/>
      <c r="J640" s="170"/>
      <c r="K640" s="205"/>
    </row>
    <row r="641" spans="1:11" x14ac:dyDescent="0.4">
      <c r="A641" s="188">
        <v>1</v>
      </c>
      <c r="B641" s="244" t="s">
        <v>527</v>
      </c>
      <c r="C641" s="29" t="s">
        <v>178</v>
      </c>
      <c r="D641" s="175"/>
      <c r="E641" s="168"/>
      <c r="F641" s="168">
        <v>5000</v>
      </c>
      <c r="G641" s="147">
        <f t="shared" si="133"/>
        <v>5000</v>
      </c>
      <c r="H641" s="132">
        <f t="shared" si="134"/>
        <v>0</v>
      </c>
      <c r="I641" s="169"/>
      <c r="J641" s="170"/>
    </row>
    <row r="642" spans="1:11" x14ac:dyDescent="0.4">
      <c r="A642" s="188">
        <v>1</v>
      </c>
      <c r="B642" s="244" t="s">
        <v>528</v>
      </c>
      <c r="C642" s="29" t="s">
        <v>178</v>
      </c>
      <c r="D642" s="175"/>
      <c r="E642" s="168"/>
      <c r="F642" s="168">
        <v>5000</v>
      </c>
      <c r="G642" s="147">
        <f t="shared" si="133"/>
        <v>5000</v>
      </c>
      <c r="H642" s="132">
        <f t="shared" si="134"/>
        <v>0</v>
      </c>
      <c r="I642" s="169"/>
      <c r="J642" s="170"/>
      <c r="K642" s="205"/>
    </row>
    <row r="643" spans="1:11" x14ac:dyDescent="0.4">
      <c r="A643" s="188">
        <v>1</v>
      </c>
      <c r="B643" s="244" t="s">
        <v>690</v>
      </c>
      <c r="C643" s="29" t="s">
        <v>178</v>
      </c>
      <c r="D643" s="175"/>
      <c r="E643" s="168"/>
      <c r="F643" s="168">
        <v>15000</v>
      </c>
      <c r="G643" s="147">
        <f t="shared" si="133"/>
        <v>15000</v>
      </c>
      <c r="H643" s="132">
        <f t="shared" si="134"/>
        <v>0</v>
      </c>
      <c r="I643" s="169"/>
      <c r="J643" s="170"/>
    </row>
    <row r="644" spans="1:11" x14ac:dyDescent="0.4">
      <c r="A644" s="188">
        <v>1</v>
      </c>
      <c r="B644" s="244" t="s">
        <v>587</v>
      </c>
      <c r="C644" s="29" t="s">
        <v>178</v>
      </c>
      <c r="D644" s="175"/>
      <c r="E644" s="168"/>
      <c r="F644" s="168">
        <v>7000</v>
      </c>
      <c r="G644" s="147">
        <f t="shared" si="133"/>
        <v>7000</v>
      </c>
      <c r="H644" s="132">
        <f t="shared" si="134"/>
        <v>0</v>
      </c>
      <c r="I644" s="169"/>
      <c r="J644" s="170"/>
    </row>
    <row r="645" spans="1:11" ht="52.5" x14ac:dyDescent="0.4">
      <c r="A645" s="188">
        <v>1</v>
      </c>
      <c r="B645" s="244" t="s">
        <v>682</v>
      </c>
      <c r="C645" s="29" t="s">
        <v>178</v>
      </c>
      <c r="D645" s="175"/>
      <c r="E645" s="168"/>
      <c r="F645" s="168">
        <v>5000</v>
      </c>
      <c r="G645" s="147">
        <f t="shared" si="133"/>
        <v>5000</v>
      </c>
      <c r="H645" s="132">
        <f t="shared" si="134"/>
        <v>0</v>
      </c>
      <c r="I645" s="169"/>
      <c r="J645" s="170"/>
    </row>
    <row r="646" spans="1:11" ht="78.75" x14ac:dyDescent="0.4">
      <c r="A646" s="328">
        <v>1</v>
      </c>
      <c r="B646" s="192" t="s">
        <v>585</v>
      </c>
      <c r="C646" s="192" t="s">
        <v>757</v>
      </c>
      <c r="D646" s="192"/>
      <c r="E646" s="168"/>
      <c r="F646" s="168">
        <v>5000</v>
      </c>
      <c r="G646" s="147">
        <f t="shared" si="133"/>
        <v>5000</v>
      </c>
      <c r="H646" s="132">
        <f t="shared" si="134"/>
        <v>0</v>
      </c>
      <c r="I646" s="169"/>
      <c r="J646" s="170"/>
      <c r="K646" s="205"/>
    </row>
    <row r="647" spans="1:11" x14ac:dyDescent="0.4">
      <c r="A647" s="328">
        <v>1</v>
      </c>
      <c r="B647" s="244" t="s">
        <v>691</v>
      </c>
      <c r="C647" s="29" t="s">
        <v>178</v>
      </c>
      <c r="D647" s="192"/>
      <c r="E647" s="168"/>
      <c r="F647" s="168">
        <v>25000</v>
      </c>
      <c r="G647" s="147">
        <f t="shared" si="133"/>
        <v>25000</v>
      </c>
      <c r="H647" s="132">
        <f t="shared" si="134"/>
        <v>0</v>
      </c>
      <c r="I647" s="169"/>
      <c r="J647" s="170"/>
    </row>
    <row r="648" spans="1:11" x14ac:dyDescent="0.4">
      <c r="A648" s="186" t="s">
        <v>0</v>
      </c>
      <c r="B648" s="186"/>
      <c r="C648" s="186"/>
      <c r="D648" s="120">
        <f>SUM(D636:D639)</f>
        <v>119283.17000000001</v>
      </c>
      <c r="E648" s="120">
        <f>SUM(E636:E646)</f>
        <v>0</v>
      </c>
      <c r="F648" s="120">
        <f>SUM(F636:F647)</f>
        <v>119283.17</v>
      </c>
      <c r="G648" s="120">
        <f>SUM(G636:G647)</f>
        <v>119283.17</v>
      </c>
      <c r="H648" s="120">
        <f t="shared" ref="H648" si="135">IFERROR(G648/D648*100-100,0)</f>
        <v>-1.4210854715202004E-14</v>
      </c>
      <c r="I648" s="120">
        <f>SUM(I636:I646)</f>
        <v>0</v>
      </c>
      <c r="J648" s="120">
        <f t="shared" ref="J648" si="136">IFERROR(I648/G648*100,)</f>
        <v>0</v>
      </c>
      <c r="K648" s="205"/>
    </row>
    <row r="649" spans="1:11" x14ac:dyDescent="0.4">
      <c r="E649" s="205"/>
      <c r="F649" s="243"/>
    </row>
    <row r="650" spans="1:11" x14ac:dyDescent="0.4">
      <c r="A650" s="755" t="s">
        <v>259</v>
      </c>
      <c r="B650" s="756"/>
      <c r="C650" s="180"/>
      <c r="D650" s="180"/>
      <c r="E650" s="180"/>
      <c r="F650" s="180"/>
      <c r="G650" s="180"/>
      <c r="H650" s="180"/>
      <c r="I650" s="180"/>
      <c r="J650" s="181"/>
    </row>
    <row r="651" spans="1:11" x14ac:dyDescent="0.4">
      <c r="A651" s="182"/>
      <c r="B651" s="183"/>
      <c r="C651" s="183"/>
      <c r="D651" s="183"/>
      <c r="E651" s="183"/>
      <c r="F651" s="183"/>
      <c r="G651" s="183"/>
      <c r="H651" s="183"/>
      <c r="I651" s="183"/>
      <c r="J651" s="184"/>
    </row>
    <row r="653" spans="1:11" ht="28.5" x14ac:dyDescent="0.4">
      <c r="A653" s="763" t="s">
        <v>77</v>
      </c>
      <c r="B653" s="757"/>
      <c r="C653" s="752" t="s">
        <v>574</v>
      </c>
      <c r="D653" s="753"/>
      <c r="E653" s="753"/>
      <c r="F653" s="753"/>
      <c r="G653" s="753"/>
      <c r="H653" s="753"/>
      <c r="I653" s="753"/>
      <c r="J653" s="754"/>
    </row>
    <row r="654" spans="1:11" ht="26.25" customHeight="1" x14ac:dyDescent="0.4">
      <c r="A654" s="757" t="s">
        <v>41</v>
      </c>
      <c r="B654" s="757"/>
      <c r="C654" s="752" t="s">
        <v>29</v>
      </c>
      <c r="D654" s="753"/>
      <c r="E654" s="753"/>
      <c r="F654" s="753"/>
      <c r="G654" s="753"/>
      <c r="H654" s="753"/>
      <c r="I654" s="753"/>
      <c r="J654" s="754"/>
    </row>
    <row r="655" spans="1:11" x14ac:dyDescent="0.4">
      <c r="A655" s="185"/>
      <c r="B655" s="185"/>
      <c r="C655" s="185"/>
      <c r="D655" s="68"/>
      <c r="E655" s="68"/>
      <c r="F655" s="68"/>
      <c r="G655" s="68"/>
      <c r="H655" s="68"/>
      <c r="I655" s="68" t="s">
        <v>208</v>
      </c>
      <c r="J655" s="68"/>
    </row>
    <row r="656" spans="1:11" x14ac:dyDescent="0.4">
      <c r="A656" s="758" t="s">
        <v>285</v>
      </c>
      <c r="B656" s="759"/>
      <c r="C656" s="759"/>
      <c r="D656" s="758" t="s">
        <v>286</v>
      </c>
      <c r="E656" s="759"/>
      <c r="F656" s="759"/>
      <c r="G656" s="759"/>
      <c r="H656" s="760"/>
      <c r="I656" s="764" t="s">
        <v>209</v>
      </c>
      <c r="J656" s="765"/>
    </row>
    <row r="657" spans="1:10" x14ac:dyDescent="0.4">
      <c r="A657" s="758" t="s">
        <v>83</v>
      </c>
      <c r="B657" s="759"/>
      <c r="C657" s="760"/>
      <c r="D657" s="766" t="s">
        <v>297</v>
      </c>
      <c r="E657" s="758" t="s">
        <v>298</v>
      </c>
      <c r="F657" s="759"/>
      <c r="G657" s="760"/>
      <c r="H657" s="768" t="s">
        <v>299</v>
      </c>
      <c r="I657" s="761" t="s">
        <v>300</v>
      </c>
      <c r="J657" s="761" t="s">
        <v>301</v>
      </c>
    </row>
    <row r="658" spans="1:10" ht="78.75" x14ac:dyDescent="0.4">
      <c r="A658" s="179" t="s">
        <v>183</v>
      </c>
      <c r="B658" s="179" t="s">
        <v>182</v>
      </c>
      <c r="C658" s="130" t="s">
        <v>124</v>
      </c>
      <c r="D658" s="767"/>
      <c r="E658" s="179" t="s">
        <v>692</v>
      </c>
      <c r="F658" s="179" t="s">
        <v>693</v>
      </c>
      <c r="G658" s="179" t="s">
        <v>192</v>
      </c>
      <c r="H658" s="768"/>
      <c r="I658" s="762"/>
      <c r="J658" s="762"/>
    </row>
    <row r="659" spans="1:10" ht="78.75" x14ac:dyDescent="0.4">
      <c r="A659" s="189">
        <v>1</v>
      </c>
      <c r="B659" s="178" t="s">
        <v>575</v>
      </c>
      <c r="C659" s="29" t="s">
        <v>145</v>
      </c>
      <c r="D659" s="175">
        <v>150000</v>
      </c>
      <c r="E659" s="168"/>
      <c r="F659" s="168">
        <v>150000</v>
      </c>
      <c r="G659" s="147">
        <f>E659+F659</f>
        <v>150000</v>
      </c>
      <c r="H659" s="132">
        <f>IFERROR(G659/D659*100-100,0)</f>
        <v>0</v>
      </c>
      <c r="I659" s="169"/>
      <c r="J659" s="170"/>
    </row>
    <row r="660" spans="1:10" x14ac:dyDescent="0.4">
      <c r="A660" s="186" t="s">
        <v>0</v>
      </c>
      <c r="B660" s="186"/>
      <c r="C660" s="186"/>
      <c r="D660" s="120">
        <f>SUM(D659:D659)</f>
        <v>150000</v>
      </c>
      <c r="E660" s="120">
        <f>SUM(E659:E659)</f>
        <v>0</v>
      </c>
      <c r="F660" s="120">
        <f>SUM(F659:F659)</f>
        <v>150000</v>
      </c>
      <c r="G660" s="120">
        <f>SUM(G659:G659)</f>
        <v>150000</v>
      </c>
      <c r="H660" s="120">
        <f t="shared" ref="H660" si="137">IFERROR(G660/D660*100-100,0)</f>
        <v>0</v>
      </c>
      <c r="I660" s="120">
        <f>SUM(I659:I659)</f>
        <v>0</v>
      </c>
      <c r="J660" s="120">
        <f t="shared" ref="J660" si="138">IFERROR(I660/G660*100,)</f>
        <v>0</v>
      </c>
    </row>
    <row r="661" spans="1:10" x14ac:dyDescent="0.4">
      <c r="F661" s="205"/>
    </row>
    <row r="662" spans="1:10" x14ac:dyDescent="0.4">
      <c r="A662" s="755" t="s">
        <v>259</v>
      </c>
      <c r="B662" s="756"/>
      <c r="C662" s="180"/>
      <c r="D662" s="180"/>
      <c r="E662" s="180"/>
      <c r="F662" s="180"/>
      <c r="G662" s="180"/>
      <c r="H662" s="180"/>
      <c r="I662" s="180"/>
      <c r="J662" s="181"/>
    </row>
    <row r="663" spans="1:10" x14ac:dyDescent="0.4">
      <c r="A663" s="182"/>
      <c r="B663" s="183"/>
      <c r="C663" s="183"/>
      <c r="D663" s="183"/>
      <c r="E663" s="183"/>
      <c r="F663" s="183"/>
      <c r="G663" s="183"/>
      <c r="H663" s="183"/>
      <c r="I663" s="183"/>
      <c r="J663" s="184"/>
    </row>
    <row r="665" spans="1:10" ht="28.5" x14ac:dyDescent="0.4">
      <c r="A665" s="763" t="s">
        <v>77</v>
      </c>
      <c r="B665" s="757"/>
      <c r="C665" s="752" t="s">
        <v>576</v>
      </c>
      <c r="D665" s="753"/>
      <c r="E665" s="753"/>
      <c r="F665" s="753"/>
      <c r="G665" s="753"/>
      <c r="H665" s="753"/>
      <c r="I665" s="753"/>
      <c r="J665" s="754"/>
    </row>
    <row r="666" spans="1:10" ht="26.25" customHeight="1" x14ac:dyDescent="0.4">
      <c r="A666" s="757" t="s">
        <v>41</v>
      </c>
      <c r="B666" s="757"/>
      <c r="C666" s="752" t="s">
        <v>34</v>
      </c>
      <c r="D666" s="753"/>
      <c r="E666" s="753"/>
      <c r="F666" s="753"/>
      <c r="G666" s="753"/>
      <c r="H666" s="753"/>
      <c r="I666" s="753"/>
      <c r="J666" s="754"/>
    </row>
    <row r="667" spans="1:10" x14ac:dyDescent="0.4">
      <c r="A667" s="185"/>
      <c r="B667" s="185"/>
      <c r="C667" s="185"/>
      <c r="D667" s="68"/>
      <c r="E667" s="68"/>
      <c r="F667" s="68"/>
      <c r="G667" s="68"/>
      <c r="H667" s="68"/>
      <c r="I667" s="68" t="s">
        <v>208</v>
      </c>
      <c r="J667" s="68"/>
    </row>
    <row r="668" spans="1:10" x14ac:dyDescent="0.4">
      <c r="A668" s="758" t="s">
        <v>285</v>
      </c>
      <c r="B668" s="759"/>
      <c r="C668" s="759"/>
      <c r="D668" s="758" t="s">
        <v>286</v>
      </c>
      <c r="E668" s="759"/>
      <c r="F668" s="759"/>
      <c r="G668" s="759"/>
      <c r="H668" s="760"/>
      <c r="I668" s="764" t="s">
        <v>209</v>
      </c>
      <c r="J668" s="765"/>
    </row>
    <row r="669" spans="1:10" x14ac:dyDescent="0.4">
      <c r="A669" s="758" t="s">
        <v>83</v>
      </c>
      <c r="B669" s="759"/>
      <c r="C669" s="760"/>
      <c r="D669" s="766" t="s">
        <v>297</v>
      </c>
      <c r="E669" s="758" t="s">
        <v>298</v>
      </c>
      <c r="F669" s="759"/>
      <c r="G669" s="760"/>
      <c r="H669" s="768" t="s">
        <v>299</v>
      </c>
      <c r="I669" s="761" t="s">
        <v>300</v>
      </c>
      <c r="J669" s="761" t="s">
        <v>301</v>
      </c>
    </row>
    <row r="670" spans="1:10" ht="78.75" x14ac:dyDescent="0.4">
      <c r="A670" s="179" t="s">
        <v>183</v>
      </c>
      <c r="B670" s="179" t="s">
        <v>182</v>
      </c>
      <c r="C670" s="130" t="s">
        <v>124</v>
      </c>
      <c r="D670" s="767"/>
      <c r="E670" s="179" t="s">
        <v>692</v>
      </c>
      <c r="F670" s="179" t="s">
        <v>693</v>
      </c>
      <c r="G670" s="179" t="s">
        <v>192</v>
      </c>
      <c r="H670" s="768"/>
      <c r="I670" s="762"/>
      <c r="J670" s="762"/>
    </row>
    <row r="671" spans="1:10" ht="157.5" x14ac:dyDescent="0.4">
      <c r="A671" s="189">
        <v>1</v>
      </c>
      <c r="B671" s="178" t="s">
        <v>758</v>
      </c>
      <c r="C671" s="29" t="s">
        <v>145</v>
      </c>
      <c r="D671" s="175">
        <v>300000</v>
      </c>
      <c r="E671" s="168"/>
      <c r="F671" s="168">
        <v>300000</v>
      </c>
      <c r="G671" s="147">
        <f>E671+F671</f>
        <v>300000</v>
      </c>
      <c r="H671" s="132">
        <f>IFERROR(G671/D671*100-100,0)</f>
        <v>0</v>
      </c>
      <c r="I671" s="169"/>
      <c r="J671" s="170"/>
    </row>
    <row r="672" spans="1:10" x14ac:dyDescent="0.4">
      <c r="A672" s="186" t="s">
        <v>0</v>
      </c>
      <c r="B672" s="186"/>
      <c r="C672" s="186"/>
      <c r="D672" s="120">
        <f>SUM(D671:D671)</f>
        <v>300000</v>
      </c>
      <c r="E672" s="120">
        <f>SUM(E671:E671)</f>
        <v>0</v>
      </c>
      <c r="F672" s="120">
        <f>SUM(F671:F671)</f>
        <v>300000</v>
      </c>
      <c r="G672" s="120">
        <f>SUM(G671:G671)</f>
        <v>300000</v>
      </c>
      <c r="H672" s="120">
        <f t="shared" ref="H672" si="139">IFERROR(G672/D672*100-100,0)</f>
        <v>0</v>
      </c>
      <c r="I672" s="120">
        <f>SUM(I671:I671)</f>
        <v>0</v>
      </c>
      <c r="J672" s="120">
        <f t="shared" ref="J672" si="140">IFERROR(I672/G672*100,)</f>
        <v>0</v>
      </c>
    </row>
    <row r="673" spans="1:11" x14ac:dyDescent="0.4">
      <c r="E673" s="205"/>
    </row>
    <row r="674" spans="1:11" x14ac:dyDescent="0.4">
      <c r="A674" s="755" t="s">
        <v>259</v>
      </c>
      <c r="B674" s="756"/>
      <c r="C674" s="180"/>
      <c r="D674" s="180"/>
      <c r="E674" s="180"/>
      <c r="F674" s="180"/>
      <c r="G674" s="180"/>
      <c r="H674" s="180"/>
      <c r="I674" s="180"/>
      <c r="J674" s="181"/>
    </row>
    <row r="675" spans="1:11" x14ac:dyDescent="0.4">
      <c r="A675" s="182"/>
      <c r="B675" s="183"/>
      <c r="C675" s="183"/>
      <c r="D675" s="183"/>
      <c r="E675" s="183"/>
      <c r="F675" s="183"/>
      <c r="G675" s="183"/>
      <c r="H675" s="183"/>
      <c r="I675" s="183"/>
      <c r="J675" s="184"/>
    </row>
    <row r="677" spans="1:11" ht="28.5" x14ac:dyDescent="0.4">
      <c r="A677" s="763" t="s">
        <v>77</v>
      </c>
      <c r="B677" s="757"/>
      <c r="C677" s="752" t="s">
        <v>577</v>
      </c>
      <c r="D677" s="753"/>
      <c r="E677" s="753"/>
      <c r="F677" s="753"/>
      <c r="G677" s="753"/>
      <c r="H677" s="753"/>
      <c r="I677" s="753"/>
      <c r="J677" s="754"/>
    </row>
    <row r="678" spans="1:11" ht="26.25" customHeight="1" x14ac:dyDescent="0.4">
      <c r="A678" s="757" t="s">
        <v>41</v>
      </c>
      <c r="B678" s="757"/>
      <c r="C678" s="752" t="s">
        <v>36</v>
      </c>
      <c r="D678" s="753"/>
      <c r="E678" s="753"/>
      <c r="F678" s="753"/>
      <c r="G678" s="753"/>
      <c r="H678" s="753"/>
      <c r="I678" s="753"/>
      <c r="J678" s="754"/>
    </row>
    <row r="679" spans="1:11" x14ac:dyDescent="0.4">
      <c r="A679" s="185"/>
      <c r="B679" s="185"/>
      <c r="C679" s="185"/>
      <c r="D679" s="68"/>
      <c r="E679" s="68"/>
      <c r="F679" s="68"/>
      <c r="G679" s="68"/>
      <c r="H679" s="68"/>
      <c r="I679" s="68" t="s">
        <v>208</v>
      </c>
      <c r="J679" s="68"/>
    </row>
    <row r="680" spans="1:11" x14ac:dyDescent="0.4">
      <c r="A680" s="758" t="s">
        <v>285</v>
      </c>
      <c r="B680" s="759"/>
      <c r="C680" s="759"/>
      <c r="D680" s="758" t="s">
        <v>286</v>
      </c>
      <c r="E680" s="759"/>
      <c r="F680" s="759"/>
      <c r="G680" s="759"/>
      <c r="H680" s="760"/>
      <c r="I680" s="764" t="s">
        <v>209</v>
      </c>
      <c r="J680" s="765"/>
    </row>
    <row r="681" spans="1:11" x14ac:dyDescent="0.4">
      <c r="A681" s="758" t="s">
        <v>83</v>
      </c>
      <c r="B681" s="759"/>
      <c r="C681" s="760"/>
      <c r="D681" s="766" t="s">
        <v>297</v>
      </c>
      <c r="E681" s="758" t="s">
        <v>298</v>
      </c>
      <c r="F681" s="759"/>
      <c r="G681" s="760"/>
      <c r="H681" s="768" t="s">
        <v>299</v>
      </c>
      <c r="I681" s="761" t="s">
        <v>300</v>
      </c>
      <c r="J681" s="761" t="s">
        <v>301</v>
      </c>
    </row>
    <row r="682" spans="1:11" ht="78.75" x14ac:dyDescent="0.4">
      <c r="A682" s="179" t="s">
        <v>183</v>
      </c>
      <c r="B682" s="179" t="s">
        <v>182</v>
      </c>
      <c r="C682" s="130" t="s">
        <v>124</v>
      </c>
      <c r="D682" s="767"/>
      <c r="E682" s="179" t="s">
        <v>692</v>
      </c>
      <c r="F682" s="179" t="s">
        <v>693</v>
      </c>
      <c r="G682" s="179" t="s">
        <v>192</v>
      </c>
      <c r="H682" s="768"/>
      <c r="I682" s="762"/>
      <c r="J682" s="762"/>
    </row>
    <row r="683" spans="1:11" ht="105" x14ac:dyDescent="0.4">
      <c r="A683" s="190">
        <v>1</v>
      </c>
      <c r="B683" s="172" t="s">
        <v>578</v>
      </c>
      <c r="C683" s="29" t="s">
        <v>178</v>
      </c>
      <c r="D683" s="175">
        <v>403401.18</v>
      </c>
      <c r="E683" s="249">
        <v>109983.23000000001</v>
      </c>
      <c r="F683" s="168">
        <v>183305.62593000001</v>
      </c>
      <c r="G683" s="147">
        <f>E683+F683</f>
        <v>293288.85593000002</v>
      </c>
      <c r="H683" s="132">
        <f>IFERROR(G683/D683*100-100,0)</f>
        <v>-27.295984625032574</v>
      </c>
      <c r="I683" s="169"/>
      <c r="J683" s="170">
        <f t="shared" ref="J683:J687" si="141">IFERROR(I683/G683*100,)</f>
        <v>0</v>
      </c>
      <c r="K683" s="205"/>
    </row>
    <row r="684" spans="1:11" ht="105" x14ac:dyDescent="0.4">
      <c r="A684" s="190">
        <v>1</v>
      </c>
      <c r="B684" s="172" t="s">
        <v>579</v>
      </c>
      <c r="C684" s="29" t="s">
        <v>178</v>
      </c>
      <c r="D684" s="175">
        <v>1978.55</v>
      </c>
      <c r="E684" s="131"/>
      <c r="F684" s="131">
        <v>1978.55</v>
      </c>
      <c r="G684" s="147">
        <f t="shared" ref="G684:G687" si="142">E684+F684</f>
        <v>1978.55</v>
      </c>
      <c r="H684" s="132">
        <f t="shared" ref="H684:H687" si="143">IFERROR(G684/D684*100-100,0)</f>
        <v>0</v>
      </c>
      <c r="I684" s="133"/>
      <c r="J684" s="148">
        <f t="shared" si="141"/>
        <v>0</v>
      </c>
    </row>
    <row r="685" spans="1:11" ht="131.25" x14ac:dyDescent="0.4">
      <c r="A685" s="190">
        <v>1</v>
      </c>
      <c r="B685" s="172" t="s">
        <v>681</v>
      </c>
      <c r="C685" s="29" t="s">
        <v>178</v>
      </c>
      <c r="D685" s="175">
        <v>10400.415999999999</v>
      </c>
      <c r="E685" s="247">
        <v>8109.37</v>
      </c>
      <c r="F685" s="131">
        <v>24416</v>
      </c>
      <c r="G685" s="147">
        <f t="shared" si="142"/>
        <v>32525.37</v>
      </c>
      <c r="H685" s="132">
        <f t="shared" si="143"/>
        <v>212.7314330503703</v>
      </c>
      <c r="I685" s="133"/>
      <c r="J685" s="148">
        <f t="shared" si="141"/>
        <v>0</v>
      </c>
    </row>
    <row r="686" spans="1:11" ht="52.5" x14ac:dyDescent="0.4">
      <c r="A686" s="188">
        <v>1</v>
      </c>
      <c r="B686" s="187" t="s">
        <v>580</v>
      </c>
      <c r="C686" s="29" t="s">
        <v>178</v>
      </c>
      <c r="D686" s="175"/>
      <c r="E686" s="131"/>
      <c r="F686" s="187"/>
      <c r="G686" s="147">
        <f t="shared" si="142"/>
        <v>0</v>
      </c>
      <c r="H686" s="132">
        <f t="shared" si="143"/>
        <v>0</v>
      </c>
      <c r="I686" s="133"/>
      <c r="J686" s="148">
        <f t="shared" si="141"/>
        <v>0</v>
      </c>
    </row>
    <row r="687" spans="1:11" ht="105" x14ac:dyDescent="0.4">
      <c r="A687" s="189">
        <v>1</v>
      </c>
      <c r="B687" s="187" t="s">
        <v>581</v>
      </c>
      <c r="C687" s="29" t="s">
        <v>178</v>
      </c>
      <c r="D687" s="175"/>
      <c r="E687" s="131"/>
      <c r="F687" s="131"/>
      <c r="G687" s="147">
        <f t="shared" si="142"/>
        <v>0</v>
      </c>
      <c r="H687" s="132">
        <f t="shared" si="143"/>
        <v>0</v>
      </c>
      <c r="I687" s="133"/>
      <c r="J687" s="148">
        <f t="shared" si="141"/>
        <v>0</v>
      </c>
    </row>
    <row r="688" spans="1:11" x14ac:dyDescent="0.4">
      <c r="A688" s="186" t="s">
        <v>0</v>
      </c>
      <c r="B688" s="186"/>
      <c r="C688" s="186"/>
      <c r="D688" s="120">
        <f>SUM(D683:D687)</f>
        <v>415780.14600000001</v>
      </c>
      <c r="E688" s="120">
        <f>SUM(E683:E687)</f>
        <v>118092.6</v>
      </c>
      <c r="F688" s="120">
        <f>SUM(F683:F687)</f>
        <v>209700.17593</v>
      </c>
      <c r="G688" s="120">
        <f>SUM(G683:G687)</f>
        <v>327792.77593</v>
      </c>
      <c r="H688" s="120">
        <f t="shared" ref="H688" si="144">IFERROR(G688/D688*100-100,0)</f>
        <v>-21.16199412513555</v>
      </c>
      <c r="I688" s="120">
        <f>SUM(I683:I687)</f>
        <v>0</v>
      </c>
      <c r="J688" s="120">
        <f t="shared" ref="J688" si="145">IFERROR(I688/G688*100,)</f>
        <v>0</v>
      </c>
      <c r="K688" s="205"/>
    </row>
    <row r="689" spans="1:10" x14ac:dyDescent="0.4">
      <c r="A689" s="185"/>
      <c r="B689" s="185"/>
      <c r="C689" s="185"/>
      <c r="D689" s="269"/>
      <c r="E689" s="270"/>
      <c r="F689" s="270"/>
      <c r="G689" s="68"/>
      <c r="H689" s="68"/>
      <c r="I689" s="68"/>
      <c r="J689" s="68"/>
    </row>
    <row r="690" spans="1:10" x14ac:dyDescent="0.4">
      <c r="A690" s="755" t="s">
        <v>259</v>
      </c>
      <c r="B690" s="756"/>
      <c r="C690" s="212"/>
      <c r="D690" s="212"/>
      <c r="E690" s="212"/>
      <c r="F690" s="212"/>
      <c r="G690" s="212"/>
      <c r="H690" s="212"/>
      <c r="I690" s="212"/>
      <c r="J690" s="213"/>
    </row>
    <row r="691" spans="1:10" x14ac:dyDescent="0.4">
      <c r="A691" s="216"/>
      <c r="B691" s="217"/>
      <c r="C691" s="217"/>
      <c r="D691" s="217"/>
      <c r="E691" s="217"/>
      <c r="F691" s="217"/>
      <c r="G691" s="217"/>
      <c r="H691" s="217"/>
      <c r="I691" s="217"/>
      <c r="J691" s="218"/>
    </row>
    <row r="692" spans="1:10" x14ac:dyDescent="0.4">
      <c r="A692" s="216"/>
      <c r="B692" s="217"/>
      <c r="C692" s="217"/>
      <c r="D692" s="217"/>
      <c r="E692" s="217"/>
      <c r="F692" s="217"/>
      <c r="G692" s="217"/>
      <c r="H692" s="217"/>
      <c r="I692" s="217"/>
      <c r="J692" s="218"/>
    </row>
    <row r="693" spans="1:10" ht="28.5" x14ac:dyDescent="0.4">
      <c r="A693" s="763" t="s">
        <v>77</v>
      </c>
      <c r="B693" s="757"/>
      <c r="C693" s="752" t="s">
        <v>751</v>
      </c>
      <c r="D693" s="753"/>
      <c r="E693" s="753"/>
      <c r="F693" s="753"/>
      <c r="G693" s="753"/>
      <c r="H693" s="753"/>
      <c r="I693" s="753"/>
      <c r="J693" s="754"/>
    </row>
    <row r="694" spans="1:10" ht="26.25" customHeight="1" x14ac:dyDescent="0.4">
      <c r="A694" s="757" t="s">
        <v>41</v>
      </c>
      <c r="B694" s="757"/>
      <c r="C694" s="752" t="s">
        <v>29</v>
      </c>
      <c r="D694" s="753"/>
      <c r="E694" s="753"/>
      <c r="F694" s="753"/>
      <c r="G694" s="753"/>
      <c r="H694" s="753"/>
      <c r="I694" s="753"/>
      <c r="J694" s="754"/>
    </row>
    <row r="695" spans="1:10" x14ac:dyDescent="0.4">
      <c r="A695" s="185"/>
      <c r="B695" s="185"/>
      <c r="C695" s="185"/>
      <c r="D695" s="68"/>
      <c r="E695" s="68"/>
      <c r="F695" s="68"/>
      <c r="G695" s="68"/>
      <c r="H695" s="68"/>
      <c r="I695" s="68" t="s">
        <v>208</v>
      </c>
      <c r="J695" s="68"/>
    </row>
    <row r="696" spans="1:10" x14ac:dyDescent="0.4">
      <c r="A696" s="758" t="s">
        <v>285</v>
      </c>
      <c r="B696" s="759"/>
      <c r="C696" s="759"/>
      <c r="D696" s="758" t="s">
        <v>286</v>
      </c>
      <c r="E696" s="759"/>
      <c r="F696" s="759"/>
      <c r="G696" s="759"/>
      <c r="H696" s="760"/>
      <c r="I696" s="764" t="s">
        <v>209</v>
      </c>
      <c r="J696" s="765"/>
    </row>
    <row r="697" spans="1:10" x14ac:dyDescent="0.4">
      <c r="A697" s="758" t="s">
        <v>83</v>
      </c>
      <c r="B697" s="759"/>
      <c r="C697" s="760"/>
      <c r="D697" s="766" t="s">
        <v>297</v>
      </c>
      <c r="E697" s="758" t="s">
        <v>298</v>
      </c>
      <c r="F697" s="759"/>
      <c r="G697" s="760"/>
      <c r="H697" s="768" t="s">
        <v>299</v>
      </c>
      <c r="I697" s="761" t="s">
        <v>300</v>
      </c>
      <c r="J697" s="761" t="s">
        <v>301</v>
      </c>
    </row>
    <row r="698" spans="1:10" ht="78.75" x14ac:dyDescent="0.4">
      <c r="A698" s="214" t="s">
        <v>183</v>
      </c>
      <c r="B698" s="214" t="s">
        <v>182</v>
      </c>
      <c r="C698" s="130" t="s">
        <v>124</v>
      </c>
      <c r="D698" s="767"/>
      <c r="E698" s="214" t="s">
        <v>692</v>
      </c>
      <c r="F698" s="214" t="s">
        <v>693</v>
      </c>
      <c r="G698" s="214" t="s">
        <v>192</v>
      </c>
      <c r="H698" s="768"/>
      <c r="I698" s="762"/>
      <c r="J698" s="762"/>
    </row>
    <row r="699" spans="1:10" x14ac:dyDescent="0.4">
      <c r="A699" s="190">
        <v>1</v>
      </c>
      <c r="B699" s="172" t="s">
        <v>759</v>
      </c>
      <c r="C699" s="29" t="s">
        <v>178</v>
      </c>
      <c r="D699" s="175">
        <f>'Quadro Geral'!J46</f>
        <v>0</v>
      </c>
      <c r="E699" s="208">
        <v>0</v>
      </c>
      <c r="F699" s="168">
        <v>150000</v>
      </c>
      <c r="G699" s="147">
        <f>E699+F699</f>
        <v>150000</v>
      </c>
      <c r="H699" s="132">
        <f>IFERROR(G699/D699*100-100,0)</f>
        <v>0</v>
      </c>
      <c r="I699" s="169"/>
      <c r="J699" s="170"/>
    </row>
    <row r="700" spans="1:10" x14ac:dyDescent="0.4">
      <c r="A700" s="215" t="s">
        <v>0</v>
      </c>
      <c r="B700" s="215"/>
      <c r="C700" s="215"/>
      <c r="D700" s="120">
        <f>SUM(D699:D699)</f>
        <v>0</v>
      </c>
      <c r="E700" s="120">
        <f>SUM(E699:E699)</f>
        <v>0</v>
      </c>
      <c r="F700" s="120">
        <f>SUM(F699:F699)</f>
        <v>150000</v>
      </c>
      <c r="G700" s="120">
        <f>SUM(G699:G699)</f>
        <v>150000</v>
      </c>
      <c r="H700" s="120">
        <f t="shared" ref="H700" si="146">IFERROR(G700/D700*100-100,0)</f>
        <v>0</v>
      </c>
      <c r="I700" s="120">
        <f>SUM(I699:I699)</f>
        <v>0</v>
      </c>
      <c r="J700" s="120">
        <f t="shared" ref="J700" si="147">IFERROR(I700/G700*100,)</f>
        <v>0</v>
      </c>
    </row>
    <row r="701" spans="1:10" x14ac:dyDescent="0.4">
      <c r="A701" s="185"/>
      <c r="B701" s="185"/>
      <c r="C701" s="185"/>
      <c r="D701" s="68">
        <f>'Quadro Geral'!J46</f>
        <v>0</v>
      </c>
      <c r="E701" s="68"/>
      <c r="F701" s="68"/>
      <c r="G701" s="68"/>
      <c r="H701" s="68"/>
      <c r="I701" s="68"/>
      <c r="J701" s="68"/>
    </row>
    <row r="702" spans="1:10" x14ac:dyDescent="0.4">
      <c r="D702" s="205"/>
      <c r="E702" s="205"/>
      <c r="F702" s="205"/>
    </row>
    <row r="703" spans="1:10" x14ac:dyDescent="0.4">
      <c r="A703" s="755" t="s">
        <v>259</v>
      </c>
      <c r="B703" s="770"/>
      <c r="C703" s="212"/>
      <c r="D703" s="212"/>
      <c r="E703" s="212"/>
      <c r="F703" s="212"/>
      <c r="G703" s="212"/>
      <c r="H703" s="212"/>
      <c r="I703" s="212"/>
      <c r="J703" s="213"/>
    </row>
    <row r="704" spans="1:10" x14ac:dyDescent="0.4">
      <c r="A704" s="216"/>
      <c r="B704" s="217"/>
      <c r="C704" s="217"/>
      <c r="D704" s="217"/>
      <c r="E704" s="217"/>
      <c r="F704" s="217"/>
      <c r="G704" s="217"/>
      <c r="H704" s="217"/>
      <c r="I704" s="217"/>
      <c r="J704" s="218"/>
    </row>
    <row r="705" spans="1:18" ht="28.5" customHeight="1" x14ac:dyDescent="0.4">
      <c r="A705" s="763" t="s">
        <v>77</v>
      </c>
      <c r="B705" s="757"/>
      <c r="C705" s="752" t="s">
        <v>699</v>
      </c>
      <c r="D705" s="752"/>
      <c r="E705" s="752"/>
      <c r="F705" s="752"/>
      <c r="G705" s="752"/>
      <c r="H705" s="752"/>
      <c r="I705" s="752"/>
      <c r="J705" s="769"/>
    </row>
    <row r="706" spans="1:18" ht="26.25" customHeight="1" x14ac:dyDescent="0.4">
      <c r="A706" s="757" t="s">
        <v>41</v>
      </c>
      <c r="B706" s="757"/>
      <c r="C706" s="752" t="s">
        <v>29</v>
      </c>
      <c r="D706" s="753"/>
      <c r="E706" s="753"/>
      <c r="F706" s="753"/>
      <c r="G706" s="753"/>
      <c r="H706" s="753"/>
      <c r="I706" s="753"/>
      <c r="J706" s="754"/>
    </row>
    <row r="707" spans="1:18" ht="28.5" x14ac:dyDescent="0.4">
      <c r="A707" s="185"/>
      <c r="B707" s="185"/>
      <c r="C707" s="185"/>
      <c r="D707" s="68"/>
      <c r="E707" s="68"/>
      <c r="F707" s="68"/>
      <c r="G707" s="68"/>
      <c r="H707" s="68"/>
      <c r="I707" s="68" t="s">
        <v>208</v>
      </c>
      <c r="J707" s="68"/>
      <c r="K707" s="752"/>
      <c r="L707" s="753"/>
      <c r="M707" s="753"/>
      <c r="N707" s="753"/>
      <c r="O707" s="753"/>
      <c r="P707" s="753"/>
      <c r="Q707" s="753"/>
      <c r="R707" s="754"/>
    </row>
    <row r="708" spans="1:18" x14ac:dyDescent="0.4">
      <c r="A708" s="758" t="s">
        <v>285</v>
      </c>
      <c r="B708" s="759"/>
      <c r="C708" s="760"/>
      <c r="D708" s="758" t="s">
        <v>286</v>
      </c>
      <c r="E708" s="759"/>
      <c r="F708" s="759"/>
      <c r="G708" s="759"/>
      <c r="H708" s="760"/>
      <c r="I708" s="764" t="s">
        <v>209</v>
      </c>
      <c r="J708" s="765"/>
    </row>
    <row r="709" spans="1:18" ht="26.25" customHeight="1" x14ac:dyDescent="0.4">
      <c r="A709" s="758" t="s">
        <v>83</v>
      </c>
      <c r="B709" s="759"/>
      <c r="C709" s="760"/>
      <c r="D709" s="796" t="s">
        <v>297</v>
      </c>
      <c r="E709" s="758" t="s">
        <v>298</v>
      </c>
      <c r="F709" s="759"/>
      <c r="G709" s="760"/>
      <c r="H709" s="796" t="s">
        <v>299</v>
      </c>
      <c r="I709" s="761" t="s">
        <v>300</v>
      </c>
      <c r="J709" s="761" t="s">
        <v>301</v>
      </c>
    </row>
    <row r="710" spans="1:18" ht="78.75" x14ac:dyDescent="0.4">
      <c r="A710" s="214" t="s">
        <v>183</v>
      </c>
      <c r="B710" s="214" t="s">
        <v>182</v>
      </c>
      <c r="C710" s="130" t="s">
        <v>124</v>
      </c>
      <c r="D710" s="797"/>
      <c r="E710" s="214" t="s">
        <v>692</v>
      </c>
      <c r="F710" s="214" t="s">
        <v>693</v>
      </c>
      <c r="G710" s="214" t="s">
        <v>192</v>
      </c>
      <c r="H710" s="797"/>
      <c r="I710" s="762"/>
      <c r="J710" s="762"/>
    </row>
    <row r="711" spans="1:18" ht="131.25" x14ac:dyDescent="0.4">
      <c r="A711" s="190">
        <v>1</v>
      </c>
      <c r="B711" s="172" t="s">
        <v>683</v>
      </c>
      <c r="C711" s="29" t="s">
        <v>178</v>
      </c>
      <c r="D711" s="175">
        <v>0</v>
      </c>
      <c r="E711" s="208"/>
      <c r="F711" s="168">
        <v>22800</v>
      </c>
      <c r="G711" s="147">
        <f>E711+F711</f>
        <v>22800</v>
      </c>
      <c r="H711" s="132">
        <f>IFERROR(G711/D711*100-100,0)</f>
        <v>0</v>
      </c>
      <c r="I711" s="169"/>
      <c r="J711" s="170"/>
    </row>
    <row r="712" spans="1:18" x14ac:dyDescent="0.4">
      <c r="A712" s="215" t="s">
        <v>0</v>
      </c>
      <c r="B712" s="215"/>
      <c r="C712" s="215"/>
      <c r="D712" s="120">
        <f>SUM(D711:D711)</f>
        <v>0</v>
      </c>
      <c r="E712" s="120">
        <f>SUM(E711:E711)</f>
        <v>0</v>
      </c>
      <c r="F712" s="120">
        <f>SUM(F711:F711)</f>
        <v>22800</v>
      </c>
      <c r="G712" s="120">
        <f>SUM(G711:G711)</f>
        <v>22800</v>
      </c>
      <c r="H712" s="120">
        <f t="shared" ref="H712" si="148">IFERROR(G712/D712*100-100,0)</f>
        <v>0</v>
      </c>
      <c r="I712" s="120">
        <f>SUM(I711:I711)</f>
        <v>0</v>
      </c>
      <c r="J712" s="120">
        <f t="shared" ref="J712" si="149">IFERROR(I712/G712*100,)</f>
        <v>0</v>
      </c>
    </row>
    <row r="713" spans="1:18" x14ac:dyDescent="0.4">
      <c r="A713" s="185"/>
      <c r="B713" s="185"/>
      <c r="C713" s="185"/>
      <c r="D713" s="68"/>
      <c r="E713" s="68"/>
      <c r="F713" s="256"/>
      <c r="G713" s="68"/>
      <c r="H713" s="68"/>
      <c r="I713" s="68"/>
      <c r="J713" s="68"/>
    </row>
    <row r="714" spans="1:18" ht="28.5" customHeight="1" x14ac:dyDescent="0.4">
      <c r="D714" s="205"/>
      <c r="E714" s="205"/>
      <c r="F714" s="205"/>
    </row>
    <row r="715" spans="1:18" ht="113.25" customHeight="1" x14ac:dyDescent="0.4">
      <c r="D715" s="205"/>
      <c r="E715" s="205"/>
      <c r="F715" s="205"/>
      <c r="G715" s="205"/>
    </row>
    <row r="716" spans="1:18" x14ac:dyDescent="0.4">
      <c r="A716" s="755" t="s">
        <v>259</v>
      </c>
      <c r="B716" s="770"/>
      <c r="C716" s="212"/>
      <c r="D716" s="212"/>
      <c r="E716" s="212"/>
      <c r="F716" s="212"/>
      <c r="G716" s="212"/>
      <c r="H716" s="212"/>
      <c r="I716" s="212"/>
      <c r="J716" s="213"/>
    </row>
    <row r="717" spans="1:18" x14ac:dyDescent="0.4">
      <c r="A717" s="216"/>
      <c r="B717" s="217"/>
      <c r="C717" s="217"/>
      <c r="D717" s="217"/>
      <c r="E717" s="217"/>
      <c r="F717" s="217"/>
      <c r="G717" s="217"/>
      <c r="H717" s="217"/>
      <c r="I717" s="217"/>
      <c r="J717" s="218"/>
    </row>
    <row r="718" spans="1:18" x14ac:dyDescent="0.4">
      <c r="A718" s="216"/>
      <c r="B718" s="217"/>
      <c r="C718" s="217"/>
      <c r="D718" s="217"/>
      <c r="E718" s="217"/>
      <c r="F718" s="217"/>
      <c r="G718" s="217"/>
      <c r="H718" s="217"/>
      <c r="I718" s="217"/>
      <c r="J718" s="218"/>
    </row>
    <row r="719" spans="1:18" x14ac:dyDescent="0.4">
      <c r="A719" s="755" t="s">
        <v>582</v>
      </c>
      <c r="B719" s="770"/>
      <c r="C719" s="770"/>
      <c r="D719" s="770"/>
      <c r="E719" s="770"/>
      <c r="F719" s="770"/>
      <c r="G719" s="770"/>
      <c r="H719" s="770"/>
      <c r="I719" s="770"/>
      <c r="J719" s="771"/>
    </row>
    <row r="720" spans="1:18" x14ac:dyDescent="0.4">
      <c r="A720" s="790" t="s">
        <v>583</v>
      </c>
      <c r="B720" s="791"/>
      <c r="C720" s="791"/>
      <c r="D720" s="791"/>
      <c r="E720" s="791"/>
      <c r="F720" s="791"/>
      <c r="G720" s="791"/>
      <c r="H720" s="791"/>
      <c r="I720" s="791"/>
      <c r="J720" s="792"/>
    </row>
    <row r="721" spans="1:10" x14ac:dyDescent="0.4">
      <c r="A721" s="793"/>
      <c r="B721" s="794"/>
      <c r="C721" s="794"/>
      <c r="D721" s="794"/>
      <c r="E721" s="794"/>
      <c r="F721" s="794"/>
      <c r="G721" s="794"/>
      <c r="H721" s="794"/>
      <c r="I721" s="794"/>
      <c r="J721" s="795"/>
    </row>
  </sheetData>
  <sheetProtection formatCells="0" formatRows="0" insertRows="0" deleteRows="0"/>
  <mergeCells count="554">
    <mergeCell ref="A708:C708"/>
    <mergeCell ref="D708:H708"/>
    <mergeCell ref="I708:J708"/>
    <mergeCell ref="A709:C709"/>
    <mergeCell ref="D709:D710"/>
    <mergeCell ref="E709:G709"/>
    <mergeCell ref="H709:H710"/>
    <mergeCell ref="I709:I710"/>
    <mergeCell ref="J709:J710"/>
    <mergeCell ref="A719:J719"/>
    <mergeCell ref="A720:J721"/>
    <mergeCell ref="A585:B585"/>
    <mergeCell ref="A578:C578"/>
    <mergeCell ref="D578:H578"/>
    <mergeCell ref="I578:J578"/>
    <mergeCell ref="A579:C579"/>
    <mergeCell ref="D579:D580"/>
    <mergeCell ref="E579:G579"/>
    <mergeCell ref="H579:H580"/>
    <mergeCell ref="I579:I580"/>
    <mergeCell ref="J579:J580"/>
    <mergeCell ref="A588:B588"/>
    <mergeCell ref="C588:J588"/>
    <mergeCell ref="A589:B589"/>
    <mergeCell ref="C589:J589"/>
    <mergeCell ref="A591:C591"/>
    <mergeCell ref="D591:H591"/>
    <mergeCell ref="I591:J591"/>
    <mergeCell ref="A592:C592"/>
    <mergeCell ref="D592:D593"/>
    <mergeCell ref="E592:G592"/>
    <mergeCell ref="H592:H593"/>
    <mergeCell ref="A716:B716"/>
    <mergeCell ref="I592:I593"/>
    <mergeCell ref="A572:B572"/>
    <mergeCell ref="A575:B575"/>
    <mergeCell ref="C575:J575"/>
    <mergeCell ref="A576:B576"/>
    <mergeCell ref="C576:J576"/>
    <mergeCell ref="A561:C561"/>
    <mergeCell ref="D561:H561"/>
    <mergeCell ref="I561:J561"/>
    <mergeCell ref="A562:C562"/>
    <mergeCell ref="D562:D563"/>
    <mergeCell ref="E562:G562"/>
    <mergeCell ref="H562:H563"/>
    <mergeCell ref="I562:I563"/>
    <mergeCell ref="J562:J563"/>
    <mergeCell ref="J592:J593"/>
    <mergeCell ref="A555:B555"/>
    <mergeCell ref="A558:B558"/>
    <mergeCell ref="C558:J558"/>
    <mergeCell ref="A559:B559"/>
    <mergeCell ref="C559:J559"/>
    <mergeCell ref="A537:C537"/>
    <mergeCell ref="D537:H537"/>
    <mergeCell ref="I537:J537"/>
    <mergeCell ref="A538:C538"/>
    <mergeCell ref="D538:D539"/>
    <mergeCell ref="E538:G538"/>
    <mergeCell ref="H538:H539"/>
    <mergeCell ref="I538:I539"/>
    <mergeCell ref="J538:J539"/>
    <mergeCell ref="A531:B531"/>
    <mergeCell ref="A534:B534"/>
    <mergeCell ref="C534:J534"/>
    <mergeCell ref="A535:B535"/>
    <mergeCell ref="C535:J535"/>
    <mergeCell ref="A518:C518"/>
    <mergeCell ref="D518:H518"/>
    <mergeCell ref="I518:J518"/>
    <mergeCell ref="A519:C519"/>
    <mergeCell ref="D519:D520"/>
    <mergeCell ref="E519:G519"/>
    <mergeCell ref="H519:H520"/>
    <mergeCell ref="I519:I520"/>
    <mergeCell ref="J519:J520"/>
    <mergeCell ref="A515:B515"/>
    <mergeCell ref="C515:J515"/>
    <mergeCell ref="A516:B516"/>
    <mergeCell ref="C516:J516"/>
    <mergeCell ref="A511:B511"/>
    <mergeCell ref="A501:C501"/>
    <mergeCell ref="D501:H501"/>
    <mergeCell ref="I501:J501"/>
    <mergeCell ref="A502:C502"/>
    <mergeCell ref="D502:D503"/>
    <mergeCell ref="E502:G502"/>
    <mergeCell ref="H502:H503"/>
    <mergeCell ref="I502:I503"/>
    <mergeCell ref="J502:J503"/>
    <mergeCell ref="A495:B495"/>
    <mergeCell ref="A498:B498"/>
    <mergeCell ref="C498:J498"/>
    <mergeCell ref="A499:B499"/>
    <mergeCell ref="C499:J499"/>
    <mergeCell ref="A488:C488"/>
    <mergeCell ref="D488:H488"/>
    <mergeCell ref="I488:J488"/>
    <mergeCell ref="A489:C489"/>
    <mergeCell ref="D489:D490"/>
    <mergeCell ref="E489:G489"/>
    <mergeCell ref="H489:H490"/>
    <mergeCell ref="I489:I490"/>
    <mergeCell ref="J489:J490"/>
    <mergeCell ref="A482:B482"/>
    <mergeCell ref="A485:B485"/>
    <mergeCell ref="C485:J485"/>
    <mergeCell ref="A486:B486"/>
    <mergeCell ref="C486:J486"/>
    <mergeCell ref="A470:C470"/>
    <mergeCell ref="D470:H470"/>
    <mergeCell ref="I470:J470"/>
    <mergeCell ref="A471:C471"/>
    <mergeCell ref="D471:D472"/>
    <mergeCell ref="E471:G471"/>
    <mergeCell ref="H471:H472"/>
    <mergeCell ref="I471:I472"/>
    <mergeCell ref="J471:J472"/>
    <mergeCell ref="A464:B464"/>
    <mergeCell ref="A467:B467"/>
    <mergeCell ref="C467:J467"/>
    <mergeCell ref="A468:B468"/>
    <mergeCell ref="C468:J468"/>
    <mergeCell ref="A451:C451"/>
    <mergeCell ref="D451:H451"/>
    <mergeCell ref="I451:J451"/>
    <mergeCell ref="A452:C452"/>
    <mergeCell ref="D452:D453"/>
    <mergeCell ref="E452:G452"/>
    <mergeCell ref="H452:H453"/>
    <mergeCell ref="I452:I453"/>
    <mergeCell ref="J452:J453"/>
    <mergeCell ref="A445:B445"/>
    <mergeCell ref="A448:B448"/>
    <mergeCell ref="C448:J448"/>
    <mergeCell ref="A449:B449"/>
    <mergeCell ref="C449:J449"/>
    <mergeCell ref="A426:C426"/>
    <mergeCell ref="D426:H426"/>
    <mergeCell ref="I426:J426"/>
    <mergeCell ref="A427:C427"/>
    <mergeCell ref="D427:D428"/>
    <mergeCell ref="E427:G427"/>
    <mergeCell ref="H427:H428"/>
    <mergeCell ref="I427:I428"/>
    <mergeCell ref="J427:J428"/>
    <mergeCell ref="A423:B423"/>
    <mergeCell ref="C423:J423"/>
    <mergeCell ref="A424:B424"/>
    <mergeCell ref="C424:J424"/>
    <mergeCell ref="A419:B419"/>
    <mergeCell ref="A413:C413"/>
    <mergeCell ref="D413:H413"/>
    <mergeCell ref="I413:J413"/>
    <mergeCell ref="A414:C414"/>
    <mergeCell ref="D414:D415"/>
    <mergeCell ref="E414:G414"/>
    <mergeCell ref="H414:H415"/>
    <mergeCell ref="I414:I415"/>
    <mergeCell ref="J414:J415"/>
    <mergeCell ref="A407:B407"/>
    <mergeCell ref="A410:B410"/>
    <mergeCell ref="C410:J410"/>
    <mergeCell ref="A411:B411"/>
    <mergeCell ref="C411:J411"/>
    <mergeCell ref="A401:C401"/>
    <mergeCell ref="D401:H401"/>
    <mergeCell ref="I401:J401"/>
    <mergeCell ref="A402:C402"/>
    <mergeCell ref="D402:D403"/>
    <mergeCell ref="E402:G402"/>
    <mergeCell ref="H402:H403"/>
    <mergeCell ref="I402:I403"/>
    <mergeCell ref="J402:J403"/>
    <mergeCell ref="A395:B395"/>
    <mergeCell ref="A398:B398"/>
    <mergeCell ref="C398:J398"/>
    <mergeCell ref="A399:B399"/>
    <mergeCell ref="C399:J399"/>
    <mergeCell ref="A389:C389"/>
    <mergeCell ref="D389:H389"/>
    <mergeCell ref="I389:J389"/>
    <mergeCell ref="A390:C390"/>
    <mergeCell ref="D390:D391"/>
    <mergeCell ref="E390:G390"/>
    <mergeCell ref="H390:H391"/>
    <mergeCell ref="I390:I391"/>
    <mergeCell ref="J390:J391"/>
    <mergeCell ref="A383:B383"/>
    <mergeCell ref="A386:B386"/>
    <mergeCell ref="C386:J386"/>
    <mergeCell ref="A387:B387"/>
    <mergeCell ref="C387:J387"/>
    <mergeCell ref="A377:C377"/>
    <mergeCell ref="D377:H377"/>
    <mergeCell ref="I377:J377"/>
    <mergeCell ref="A378:C378"/>
    <mergeCell ref="D378:D379"/>
    <mergeCell ref="E378:G378"/>
    <mergeCell ref="H378:H379"/>
    <mergeCell ref="I378:I379"/>
    <mergeCell ref="J378:J379"/>
    <mergeCell ref="A371:B371"/>
    <mergeCell ref="A374:B374"/>
    <mergeCell ref="C374:J374"/>
    <mergeCell ref="A375:B375"/>
    <mergeCell ref="C375:J375"/>
    <mergeCell ref="A358:C358"/>
    <mergeCell ref="D358:H358"/>
    <mergeCell ref="I358:J358"/>
    <mergeCell ref="A359:C359"/>
    <mergeCell ref="D359:D360"/>
    <mergeCell ref="E359:G359"/>
    <mergeCell ref="H359:H360"/>
    <mergeCell ref="I359:I360"/>
    <mergeCell ref="J359:J360"/>
    <mergeCell ref="A352:B352"/>
    <mergeCell ref="A355:B355"/>
    <mergeCell ref="C355:J355"/>
    <mergeCell ref="A356:B356"/>
    <mergeCell ref="C356:J356"/>
    <mergeCell ref="A343:C343"/>
    <mergeCell ref="D343:H343"/>
    <mergeCell ref="I343:J343"/>
    <mergeCell ref="A344:C344"/>
    <mergeCell ref="D344:D345"/>
    <mergeCell ref="E344:G344"/>
    <mergeCell ref="H344:H345"/>
    <mergeCell ref="I344:I345"/>
    <mergeCell ref="J344:J345"/>
    <mergeCell ref="A337:B337"/>
    <mergeCell ref="A340:B340"/>
    <mergeCell ref="C340:J340"/>
    <mergeCell ref="A341:B341"/>
    <mergeCell ref="C341:J341"/>
    <mergeCell ref="A328:C328"/>
    <mergeCell ref="D328:H328"/>
    <mergeCell ref="I328:J328"/>
    <mergeCell ref="A329:C329"/>
    <mergeCell ref="D329:D330"/>
    <mergeCell ref="E329:G329"/>
    <mergeCell ref="H329:H330"/>
    <mergeCell ref="I329:I330"/>
    <mergeCell ref="J329:J330"/>
    <mergeCell ref="A322:B322"/>
    <mergeCell ref="A325:B325"/>
    <mergeCell ref="C325:J325"/>
    <mergeCell ref="A326:B326"/>
    <mergeCell ref="C326:J326"/>
    <mergeCell ref="A313:C313"/>
    <mergeCell ref="D313:H313"/>
    <mergeCell ref="I313:J313"/>
    <mergeCell ref="A314:C314"/>
    <mergeCell ref="D314:D315"/>
    <mergeCell ref="E314:G314"/>
    <mergeCell ref="H314:H315"/>
    <mergeCell ref="I314:I315"/>
    <mergeCell ref="J314:J315"/>
    <mergeCell ref="A307:B307"/>
    <mergeCell ref="A310:B310"/>
    <mergeCell ref="C310:J310"/>
    <mergeCell ref="A311:B311"/>
    <mergeCell ref="C311:J311"/>
    <mergeCell ref="A298:C298"/>
    <mergeCell ref="D298:H298"/>
    <mergeCell ref="I298:J298"/>
    <mergeCell ref="A299:C299"/>
    <mergeCell ref="D299:D300"/>
    <mergeCell ref="E299:G299"/>
    <mergeCell ref="H299:H300"/>
    <mergeCell ref="I299:I300"/>
    <mergeCell ref="J299:J300"/>
    <mergeCell ref="A292:B292"/>
    <mergeCell ref="A295:B295"/>
    <mergeCell ref="C295:J295"/>
    <mergeCell ref="A296:B296"/>
    <mergeCell ref="C296:J296"/>
    <mergeCell ref="A283:C283"/>
    <mergeCell ref="D283:H283"/>
    <mergeCell ref="I283:J283"/>
    <mergeCell ref="A284:C284"/>
    <mergeCell ref="D284:D285"/>
    <mergeCell ref="E284:G284"/>
    <mergeCell ref="H284:H285"/>
    <mergeCell ref="I284:I285"/>
    <mergeCell ref="J284:J285"/>
    <mergeCell ref="A277:B277"/>
    <mergeCell ref="A280:B280"/>
    <mergeCell ref="C280:J280"/>
    <mergeCell ref="A281:B281"/>
    <mergeCell ref="C281:J281"/>
    <mergeCell ref="A250:C250"/>
    <mergeCell ref="D250:H250"/>
    <mergeCell ref="I250:J250"/>
    <mergeCell ref="A251:C251"/>
    <mergeCell ref="D251:D252"/>
    <mergeCell ref="E251:G251"/>
    <mergeCell ref="H251:H252"/>
    <mergeCell ref="I251:I252"/>
    <mergeCell ref="J251:J252"/>
    <mergeCell ref="A244:B244"/>
    <mergeCell ref="A247:B247"/>
    <mergeCell ref="C247:J247"/>
    <mergeCell ref="A248:B248"/>
    <mergeCell ref="C248:J248"/>
    <mergeCell ref="A225:C225"/>
    <mergeCell ref="D225:H225"/>
    <mergeCell ref="I225:J225"/>
    <mergeCell ref="A226:C226"/>
    <mergeCell ref="D226:D227"/>
    <mergeCell ref="E226:G226"/>
    <mergeCell ref="H226:H227"/>
    <mergeCell ref="I226:I227"/>
    <mergeCell ref="J226:J227"/>
    <mergeCell ref="A219:B219"/>
    <mergeCell ref="A222:B222"/>
    <mergeCell ref="C222:J222"/>
    <mergeCell ref="A223:B223"/>
    <mergeCell ref="C223:J223"/>
    <mergeCell ref="A208:C208"/>
    <mergeCell ref="D208:H208"/>
    <mergeCell ref="I208:J208"/>
    <mergeCell ref="A209:C209"/>
    <mergeCell ref="D209:D210"/>
    <mergeCell ref="E209:G209"/>
    <mergeCell ref="H209:H210"/>
    <mergeCell ref="I209:I210"/>
    <mergeCell ref="J209:J210"/>
    <mergeCell ref="A202:B202"/>
    <mergeCell ref="A205:B205"/>
    <mergeCell ref="C205:J205"/>
    <mergeCell ref="A206:B206"/>
    <mergeCell ref="C206:J206"/>
    <mergeCell ref="A171:C171"/>
    <mergeCell ref="D171:H171"/>
    <mergeCell ref="I171:J171"/>
    <mergeCell ref="A172:C172"/>
    <mergeCell ref="D172:D173"/>
    <mergeCell ref="E172:G172"/>
    <mergeCell ref="H172:H173"/>
    <mergeCell ref="I172:I173"/>
    <mergeCell ref="J172:J173"/>
    <mergeCell ref="A165:B165"/>
    <mergeCell ref="A168:B168"/>
    <mergeCell ref="C168:J168"/>
    <mergeCell ref="A169:B169"/>
    <mergeCell ref="C169:J169"/>
    <mergeCell ref="A152:C152"/>
    <mergeCell ref="D152:H152"/>
    <mergeCell ref="I152:J152"/>
    <mergeCell ref="A153:C153"/>
    <mergeCell ref="D153:D154"/>
    <mergeCell ref="E153:G153"/>
    <mergeCell ref="H153:H154"/>
    <mergeCell ref="I153:I154"/>
    <mergeCell ref="J153:J154"/>
    <mergeCell ref="A146:B146"/>
    <mergeCell ref="A149:B149"/>
    <mergeCell ref="C149:J149"/>
    <mergeCell ref="A150:B150"/>
    <mergeCell ref="C150:J150"/>
    <mergeCell ref="A130:C130"/>
    <mergeCell ref="D130:H130"/>
    <mergeCell ref="I130:J130"/>
    <mergeCell ref="A131:C131"/>
    <mergeCell ref="D131:D132"/>
    <mergeCell ref="E131:G131"/>
    <mergeCell ref="H131:H132"/>
    <mergeCell ref="I131:I132"/>
    <mergeCell ref="J131:J132"/>
    <mergeCell ref="A128:B128"/>
    <mergeCell ref="C128:J128"/>
    <mergeCell ref="A98:C98"/>
    <mergeCell ref="D98:H98"/>
    <mergeCell ref="I98:J98"/>
    <mergeCell ref="A99:C99"/>
    <mergeCell ref="D99:D100"/>
    <mergeCell ref="E99:G99"/>
    <mergeCell ref="H99:H100"/>
    <mergeCell ref="I99:I100"/>
    <mergeCell ref="J99:J100"/>
    <mergeCell ref="A84:B84"/>
    <mergeCell ref="C84:J84"/>
    <mergeCell ref="A86:C86"/>
    <mergeCell ref="D86:H86"/>
    <mergeCell ref="I86:J86"/>
    <mergeCell ref="J60:J61"/>
    <mergeCell ref="A80:B80"/>
    <mergeCell ref="A124:B124"/>
    <mergeCell ref="A127:B127"/>
    <mergeCell ref="C127:J127"/>
    <mergeCell ref="J87:J88"/>
    <mergeCell ref="A92:B92"/>
    <mergeCell ref="A95:B95"/>
    <mergeCell ref="C95:J95"/>
    <mergeCell ref="A96:B96"/>
    <mergeCell ref="C96:J96"/>
    <mergeCell ref="A87:C87"/>
    <mergeCell ref="D87:D88"/>
    <mergeCell ref="E87:G87"/>
    <mergeCell ref="H87:H88"/>
    <mergeCell ref="I87:I88"/>
    <mergeCell ref="A6:C6"/>
    <mergeCell ref="D6:H6"/>
    <mergeCell ref="I6:J6"/>
    <mergeCell ref="C3:J3"/>
    <mergeCell ref="A1:J1"/>
    <mergeCell ref="A2:J2"/>
    <mergeCell ref="A3:B3"/>
    <mergeCell ref="A4:B4"/>
    <mergeCell ref="C4:J4"/>
    <mergeCell ref="A7:C7"/>
    <mergeCell ref="H7:H8"/>
    <mergeCell ref="I7:I8"/>
    <mergeCell ref="J7:J8"/>
    <mergeCell ref="A17:C17"/>
    <mergeCell ref="D7:D8"/>
    <mergeCell ref="E7:G7"/>
    <mergeCell ref="A23:B23"/>
    <mergeCell ref="C23:J23"/>
    <mergeCell ref="A21:J21"/>
    <mergeCell ref="A25:C25"/>
    <mergeCell ref="D25:H25"/>
    <mergeCell ref="I25:J25"/>
    <mergeCell ref="A19:J19"/>
    <mergeCell ref="A20:J20"/>
    <mergeCell ref="A22:B22"/>
    <mergeCell ref="C22:J22"/>
    <mergeCell ref="J26:J27"/>
    <mergeCell ref="A26:C26"/>
    <mergeCell ref="D26:D27"/>
    <mergeCell ref="E26:G26"/>
    <mergeCell ref="H26:H27"/>
    <mergeCell ref="I26:I27"/>
    <mergeCell ref="A53:B53"/>
    <mergeCell ref="A83:B83"/>
    <mergeCell ref="C83:J83"/>
    <mergeCell ref="A60:C60"/>
    <mergeCell ref="D60:D61"/>
    <mergeCell ref="E60:G60"/>
    <mergeCell ref="H60:H61"/>
    <mergeCell ref="I60:I61"/>
    <mergeCell ref="A56:B56"/>
    <mergeCell ref="C56:J56"/>
    <mergeCell ref="A57:B57"/>
    <mergeCell ref="C57:J57"/>
    <mergeCell ref="A59:C59"/>
    <mergeCell ref="D59:H59"/>
    <mergeCell ref="I59:J59"/>
    <mergeCell ref="A597:B597"/>
    <mergeCell ref="A600:B600"/>
    <mergeCell ref="C600:J600"/>
    <mergeCell ref="A601:B601"/>
    <mergeCell ref="C601:J601"/>
    <mergeCell ref="A603:C603"/>
    <mergeCell ref="D603:H603"/>
    <mergeCell ref="I603:J603"/>
    <mergeCell ref="A604:C604"/>
    <mergeCell ref="D604:D605"/>
    <mergeCell ref="E604:G604"/>
    <mergeCell ref="H604:H605"/>
    <mergeCell ref="I604:I605"/>
    <mergeCell ref="J604:J605"/>
    <mergeCell ref="A612:B612"/>
    <mergeCell ref="A615:B615"/>
    <mergeCell ref="C615:J615"/>
    <mergeCell ref="A616:B616"/>
    <mergeCell ref="C616:J616"/>
    <mergeCell ref="A618:C618"/>
    <mergeCell ref="D618:H618"/>
    <mergeCell ref="I618:J618"/>
    <mergeCell ref="A619:C619"/>
    <mergeCell ref="D619:D620"/>
    <mergeCell ref="E619:G619"/>
    <mergeCell ref="H619:H620"/>
    <mergeCell ref="I619:I620"/>
    <mergeCell ref="J619:J620"/>
    <mergeCell ref="A627:B627"/>
    <mergeCell ref="A630:B630"/>
    <mergeCell ref="C630:J630"/>
    <mergeCell ref="A631:B631"/>
    <mergeCell ref="C631:J631"/>
    <mergeCell ref="A633:C633"/>
    <mergeCell ref="D633:H633"/>
    <mergeCell ref="I633:J633"/>
    <mergeCell ref="A634:C634"/>
    <mergeCell ref="D634:D635"/>
    <mergeCell ref="E634:G634"/>
    <mergeCell ref="H634:H635"/>
    <mergeCell ref="I634:I635"/>
    <mergeCell ref="J634:J635"/>
    <mergeCell ref="A650:B650"/>
    <mergeCell ref="A653:B653"/>
    <mergeCell ref="C653:J653"/>
    <mergeCell ref="A654:B654"/>
    <mergeCell ref="C654:J654"/>
    <mergeCell ref="A656:C656"/>
    <mergeCell ref="D656:H656"/>
    <mergeCell ref="I656:J656"/>
    <mergeCell ref="A657:C657"/>
    <mergeCell ref="D657:D658"/>
    <mergeCell ref="E657:G657"/>
    <mergeCell ref="H657:H658"/>
    <mergeCell ref="I657:I658"/>
    <mergeCell ref="J657:J658"/>
    <mergeCell ref="A662:B662"/>
    <mergeCell ref="A665:B665"/>
    <mergeCell ref="C665:J665"/>
    <mergeCell ref="A666:B666"/>
    <mergeCell ref="C666:J666"/>
    <mergeCell ref="A668:C668"/>
    <mergeCell ref="D668:H668"/>
    <mergeCell ref="I668:J668"/>
    <mergeCell ref="A669:C669"/>
    <mergeCell ref="D669:D670"/>
    <mergeCell ref="E669:G669"/>
    <mergeCell ref="H669:H670"/>
    <mergeCell ref="I669:I670"/>
    <mergeCell ref="J669:J670"/>
    <mergeCell ref="A674:B674"/>
    <mergeCell ref="A677:B677"/>
    <mergeCell ref="C677:J677"/>
    <mergeCell ref="A678:B678"/>
    <mergeCell ref="C678:J678"/>
    <mergeCell ref="A680:C680"/>
    <mergeCell ref="D680:H680"/>
    <mergeCell ref="I680:J680"/>
    <mergeCell ref="A681:C681"/>
    <mergeCell ref="D681:D682"/>
    <mergeCell ref="E681:G681"/>
    <mergeCell ref="H681:H682"/>
    <mergeCell ref="I681:I682"/>
    <mergeCell ref="J681:J682"/>
    <mergeCell ref="K707:R707"/>
    <mergeCell ref="A690:B690"/>
    <mergeCell ref="A694:B694"/>
    <mergeCell ref="C694:J694"/>
    <mergeCell ref="A697:C697"/>
    <mergeCell ref="J697:J698"/>
    <mergeCell ref="A693:B693"/>
    <mergeCell ref="C693:J693"/>
    <mergeCell ref="A696:C696"/>
    <mergeCell ref="D696:H696"/>
    <mergeCell ref="I696:J696"/>
    <mergeCell ref="D697:D698"/>
    <mergeCell ref="E697:G697"/>
    <mergeCell ref="H697:H698"/>
    <mergeCell ref="I697:I698"/>
    <mergeCell ref="A705:B705"/>
    <mergeCell ref="C705:J705"/>
    <mergeCell ref="A706:B706"/>
    <mergeCell ref="C706:J706"/>
    <mergeCell ref="A703:B703"/>
  </mergeCells>
  <dataValidations count="1">
    <dataValidation type="list" allowBlank="1" showInputMessage="1" showErrorMessage="1" sqref="AP8:AP10" xr:uid="{00000000-0002-0000-0900-000000000000}">
      <formula1>$AP$8:$AP$10</formula1>
    </dataValidation>
  </dataValidations>
  <pageMargins left="0.511811024" right="0.511811024" top="0.78740157499999996" bottom="0.78740157499999996" header="0.31496062000000002" footer="0.31496062000000002"/>
  <pageSetup paperSize="9" scale="62" orientation="landscape" r:id="rId1"/>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900-000001000000}">
          <x14:formula1>
            <xm:f>'Resumo (2)'!$Q$1:$Q$16</xm:f>
          </x14:formula1>
          <xm:sqref>C4:J4 C23:J23 C678:J678 C57:J57 C84:J84 C96:J96 C128:J128 C150:J150 C169:J169 C206:J206 C223:J223 C248:J248 C281:J281 C296:J296 C311:J311 C326:J326 C341:J341 C356:J356 C375:J375 C387:J387 C399:J399 C411:J411 C424:J424 C449:J449 C468:J468 C486:J486 C499:J499 C516:J516 C535:J535 C631 C576:J576 C589:J589 C601:J601 C616:J616 C666:J666 C654:J654 C559 C694:J694 C706:J706</xm:sqref>
        </x14:dataValidation>
        <x14:dataValidation type="list" allowBlank="1" showInputMessage="1" showErrorMessage="1" xr:uid="{00000000-0002-0000-0900-000002000000}">
          <x14:formula1>
            <xm:f>'AÇÕES ESTRATÉGICAS - DESCRIÇÃO'!$C$2:$C$23</xm:f>
          </x14:formula1>
          <xm:sqref>C35:C50 C68:C77 C15:C16 C140:C141 C113:C121 C138 C108:C109 C111 C269</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Q21"/>
  <sheetViews>
    <sheetView zoomScale="30" zoomScaleNormal="30" workbookViewId="0">
      <selection activeCell="E14" sqref="E14"/>
    </sheetView>
  </sheetViews>
  <sheetFormatPr defaultRowHeight="64.5" x14ac:dyDescent="0.95"/>
  <cols>
    <col min="2" max="2" width="114" bestFit="1" customWidth="1"/>
    <col min="5" max="5" width="39.5703125" customWidth="1"/>
    <col min="6" max="6" width="59.5703125" customWidth="1"/>
    <col min="14" max="14" width="97.28515625" customWidth="1"/>
    <col min="17" max="17" width="132.85546875" style="63" bestFit="1" customWidth="1"/>
  </cols>
  <sheetData>
    <row r="1" spans="1:17" x14ac:dyDescent="0.95">
      <c r="A1" s="56"/>
      <c r="B1" s="220" t="s">
        <v>103</v>
      </c>
      <c r="C1" s="55"/>
      <c r="D1" s="55"/>
      <c r="E1" s="55"/>
      <c r="F1" s="53" t="s">
        <v>75</v>
      </c>
      <c r="G1" s="55"/>
      <c r="H1" s="56"/>
      <c r="I1" s="56"/>
      <c r="N1" s="59" t="s">
        <v>178</v>
      </c>
      <c r="Q1" s="63" t="s">
        <v>26</v>
      </c>
    </row>
    <row r="2" spans="1:17" x14ac:dyDescent="0.95">
      <c r="A2" s="56"/>
      <c r="B2" s="220" t="s">
        <v>111</v>
      </c>
      <c r="C2" s="55"/>
      <c r="D2" s="55"/>
      <c r="E2" s="55"/>
      <c r="F2" s="53" t="s">
        <v>49</v>
      </c>
      <c r="G2" s="55"/>
      <c r="H2" s="56"/>
      <c r="I2" s="56"/>
      <c r="N2" s="59" t="s">
        <v>179</v>
      </c>
      <c r="Q2" s="63" t="s">
        <v>180</v>
      </c>
    </row>
    <row r="3" spans="1:17" x14ac:dyDescent="0.95">
      <c r="A3" s="56"/>
      <c r="B3" s="220" t="s">
        <v>112</v>
      </c>
      <c r="C3" s="55"/>
      <c r="D3" s="55"/>
      <c r="E3" s="55"/>
      <c r="F3" s="798" t="s">
        <v>44</v>
      </c>
      <c r="G3" s="55"/>
      <c r="H3" s="56"/>
      <c r="I3" s="56"/>
      <c r="N3" s="59" t="s">
        <v>132</v>
      </c>
      <c r="Q3" s="63" t="s">
        <v>27</v>
      </c>
    </row>
    <row r="4" spans="1:17" x14ac:dyDescent="0.95">
      <c r="A4" s="56"/>
      <c r="B4" s="220" t="s">
        <v>113</v>
      </c>
      <c r="C4" s="55"/>
      <c r="D4" s="55"/>
      <c r="E4" s="55"/>
      <c r="F4" s="798"/>
      <c r="G4" s="55"/>
      <c r="H4" s="56"/>
      <c r="I4" s="56"/>
      <c r="N4" s="59" t="s">
        <v>133</v>
      </c>
      <c r="Q4" s="63" t="s">
        <v>129</v>
      </c>
    </row>
    <row r="5" spans="1:17" x14ac:dyDescent="0.95">
      <c r="A5" s="56"/>
      <c r="B5" s="220" t="s">
        <v>104</v>
      </c>
      <c r="C5" s="55"/>
      <c r="D5" s="55"/>
      <c r="E5" s="55"/>
      <c r="F5" s="58" t="s">
        <v>169</v>
      </c>
      <c r="G5" s="58"/>
      <c r="H5" s="58"/>
      <c r="I5" s="58"/>
      <c r="J5" s="58"/>
      <c r="N5" s="60" t="s">
        <v>135</v>
      </c>
      <c r="Q5" s="63" t="s">
        <v>29</v>
      </c>
    </row>
    <row r="6" spans="1:17" x14ac:dyDescent="0.95">
      <c r="A6" s="56"/>
      <c r="B6" s="220" t="s">
        <v>114</v>
      </c>
      <c r="C6" s="55"/>
      <c r="D6" s="55"/>
      <c r="E6" s="55"/>
      <c r="F6" s="58" t="s">
        <v>170</v>
      </c>
      <c r="G6" s="55"/>
      <c r="H6" s="56"/>
      <c r="I6" s="56"/>
      <c r="N6" s="60" t="s">
        <v>136</v>
      </c>
      <c r="Q6" s="63" t="s">
        <v>150</v>
      </c>
    </row>
    <row r="7" spans="1:17" x14ac:dyDescent="0.95">
      <c r="A7" s="56"/>
      <c r="B7" s="220" t="s">
        <v>123</v>
      </c>
      <c r="C7" s="55"/>
      <c r="D7" s="55"/>
      <c r="E7" s="55"/>
      <c r="F7" s="58" t="s">
        <v>171</v>
      </c>
      <c r="G7" s="55"/>
      <c r="H7" s="56"/>
      <c r="I7" s="56"/>
      <c r="N7" s="60" t="s">
        <v>138</v>
      </c>
      <c r="Q7" s="63" t="s">
        <v>181</v>
      </c>
    </row>
    <row r="8" spans="1:17" x14ac:dyDescent="0.95">
      <c r="A8" s="56"/>
      <c r="B8" s="220" t="s">
        <v>105</v>
      </c>
      <c r="C8" s="55"/>
      <c r="D8" s="55"/>
      <c r="E8" s="55"/>
      <c r="F8" s="58" t="s">
        <v>172</v>
      </c>
      <c r="G8" s="55"/>
      <c r="H8" s="56"/>
      <c r="I8" s="56"/>
      <c r="N8" s="59" t="s">
        <v>141</v>
      </c>
      <c r="Q8" s="63" t="s">
        <v>140</v>
      </c>
    </row>
    <row r="9" spans="1:17" x14ac:dyDescent="0.95">
      <c r="A9" s="56"/>
      <c r="B9" s="220" t="s">
        <v>115</v>
      </c>
      <c r="C9" s="55"/>
      <c r="D9" s="55"/>
      <c r="E9" s="55"/>
      <c r="F9" s="58" t="s">
        <v>173</v>
      </c>
      <c r="G9" s="55"/>
      <c r="H9" s="56"/>
      <c r="I9" s="56"/>
      <c r="N9" s="59" t="s">
        <v>143</v>
      </c>
      <c r="Q9" s="63" t="s">
        <v>32</v>
      </c>
    </row>
    <row r="10" spans="1:17" x14ac:dyDescent="0.95">
      <c r="A10" s="56"/>
      <c r="B10" s="220" t="s">
        <v>106</v>
      </c>
      <c r="C10" s="55"/>
      <c r="D10" s="55"/>
      <c r="E10" s="55"/>
      <c r="F10" s="62" t="s">
        <v>184</v>
      </c>
      <c r="G10" s="55"/>
      <c r="H10" s="56"/>
      <c r="I10" s="56"/>
      <c r="N10" s="60" t="s">
        <v>145</v>
      </c>
      <c r="Q10" s="63" t="s">
        <v>33</v>
      </c>
    </row>
    <row r="11" spans="1:17" x14ac:dyDescent="0.95">
      <c r="A11" s="56"/>
      <c r="B11" s="220" t="s">
        <v>107</v>
      </c>
      <c r="C11" s="55"/>
      <c r="D11" s="55"/>
      <c r="E11" s="55"/>
      <c r="F11" s="55" t="s">
        <v>46</v>
      </c>
      <c r="G11" s="55"/>
      <c r="H11" s="56"/>
      <c r="I11" s="56"/>
      <c r="N11" s="59" t="s">
        <v>146</v>
      </c>
      <c r="Q11" s="63" t="s">
        <v>34</v>
      </c>
    </row>
    <row r="12" spans="1:17" x14ac:dyDescent="0.95">
      <c r="A12" s="56"/>
      <c r="B12" s="220" t="s">
        <v>116</v>
      </c>
      <c r="C12" s="55"/>
      <c r="D12" s="55"/>
      <c r="E12" s="55"/>
      <c r="F12" s="55" t="s">
        <v>2</v>
      </c>
      <c r="G12" s="55"/>
      <c r="H12" s="56"/>
      <c r="I12" s="56"/>
      <c r="N12" s="59" t="s">
        <v>148</v>
      </c>
      <c r="Q12" s="63" t="s">
        <v>35</v>
      </c>
    </row>
    <row r="13" spans="1:17" x14ac:dyDescent="0.95">
      <c r="A13" s="56"/>
      <c r="B13" s="220" t="s">
        <v>117</v>
      </c>
      <c r="C13" s="55"/>
      <c r="D13" s="55"/>
      <c r="E13" s="55"/>
      <c r="F13" s="55"/>
      <c r="G13" s="55"/>
      <c r="H13" s="56"/>
      <c r="I13" s="56"/>
      <c r="N13" s="60" t="s">
        <v>151</v>
      </c>
      <c r="Q13" s="63" t="s">
        <v>36</v>
      </c>
    </row>
    <row r="14" spans="1:17" x14ac:dyDescent="0.95">
      <c r="A14" s="56"/>
      <c r="B14" s="220" t="s">
        <v>108</v>
      </c>
      <c r="C14" s="55"/>
      <c r="D14" s="55"/>
      <c r="E14" s="55"/>
      <c r="F14" s="55"/>
      <c r="G14" s="55"/>
      <c r="H14" s="56"/>
      <c r="I14" s="56"/>
      <c r="N14" s="60" t="s">
        <v>153</v>
      </c>
      <c r="Q14" s="63" t="s">
        <v>37</v>
      </c>
    </row>
    <row r="15" spans="1:17" x14ac:dyDescent="0.95">
      <c r="A15" s="56"/>
      <c r="B15" s="220" t="s">
        <v>118</v>
      </c>
      <c r="C15" s="55"/>
      <c r="D15" s="55"/>
      <c r="E15" s="55"/>
      <c r="F15" s="55"/>
      <c r="G15" s="55"/>
      <c r="H15" s="56"/>
      <c r="I15" s="56"/>
      <c r="N15" s="59" t="s">
        <v>155</v>
      </c>
      <c r="Q15" s="63" t="s">
        <v>38</v>
      </c>
    </row>
    <row r="16" spans="1:17" x14ac:dyDescent="0.95">
      <c r="A16" s="56"/>
      <c r="B16" s="220" t="s">
        <v>109</v>
      </c>
      <c r="C16" s="55"/>
      <c r="D16" s="55"/>
      <c r="E16" s="55"/>
      <c r="F16" s="55"/>
      <c r="G16" s="55"/>
      <c r="H16" s="56"/>
      <c r="I16" s="56"/>
      <c r="N16" s="59" t="s">
        <v>157</v>
      </c>
      <c r="Q16" s="63" t="s">
        <v>39</v>
      </c>
    </row>
    <row r="17" spans="1:14" x14ac:dyDescent="0.95">
      <c r="A17" s="56"/>
      <c r="B17" s="220" t="s">
        <v>110</v>
      </c>
      <c r="C17" s="55"/>
      <c r="D17" s="55"/>
      <c r="E17" s="55"/>
      <c r="F17" s="55"/>
      <c r="G17" s="55"/>
      <c r="H17" s="56"/>
      <c r="I17" s="56"/>
      <c r="N17" s="59" t="s">
        <v>159</v>
      </c>
    </row>
    <row r="18" spans="1:14" x14ac:dyDescent="0.95">
      <c r="A18" s="56"/>
      <c r="C18" s="55"/>
      <c r="D18" s="55"/>
      <c r="E18" s="55"/>
      <c r="F18" s="55"/>
      <c r="G18" s="55"/>
      <c r="H18" s="56"/>
      <c r="I18" s="56"/>
      <c r="N18" s="60" t="s">
        <v>161</v>
      </c>
    </row>
    <row r="19" spans="1:14" x14ac:dyDescent="0.95">
      <c r="N19" s="60" t="s">
        <v>163</v>
      </c>
    </row>
    <row r="20" spans="1:14" x14ac:dyDescent="0.95">
      <c r="N20" s="60" t="s">
        <v>165</v>
      </c>
    </row>
    <row r="21" spans="1:14" x14ac:dyDescent="0.95">
      <c r="N21" s="60" t="s">
        <v>167</v>
      </c>
    </row>
  </sheetData>
  <mergeCells count="1">
    <mergeCell ref="F3:F4"/>
  </mergeCells>
  <pageMargins left="0.511811024" right="0.511811024" top="0.78740157499999996" bottom="0.78740157499999996" header="0.31496062000000002" footer="0.31496062000000002"/>
  <pageSetup paperSize="28" orientation="portrait" verticalDpi="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4" tint="-0.249977111117893"/>
  </sheetPr>
  <dimension ref="A1:H22"/>
  <sheetViews>
    <sheetView showGridLines="0" zoomScale="60" zoomScaleNormal="60" workbookViewId="0">
      <selection activeCell="A3" sqref="A3:A5"/>
    </sheetView>
  </sheetViews>
  <sheetFormatPr defaultRowHeight="28.5" x14ac:dyDescent="0.45"/>
  <cols>
    <col min="1" max="1" width="44.5703125" style="138" customWidth="1"/>
    <col min="2" max="2" width="22.7109375" style="138" bestFit="1" customWidth="1"/>
    <col min="3" max="3" width="46" style="138" customWidth="1"/>
    <col min="4" max="4" width="66.7109375" style="138" customWidth="1"/>
    <col min="5" max="7" width="9.140625" style="138"/>
    <col min="8" max="8" width="68.7109375" style="138" bestFit="1" customWidth="1"/>
    <col min="9" max="16384" width="9.140625" style="138"/>
  </cols>
  <sheetData>
    <row r="1" spans="1:8" ht="97.5" customHeight="1" x14ac:dyDescent="0.45">
      <c r="A1" s="137" t="s">
        <v>125</v>
      </c>
      <c r="B1" s="137" t="s">
        <v>126</v>
      </c>
      <c r="C1" s="137" t="s">
        <v>127</v>
      </c>
      <c r="D1" s="137" t="s">
        <v>128</v>
      </c>
    </row>
    <row r="2" spans="1:8" ht="54.95" customHeight="1" x14ac:dyDescent="0.45">
      <c r="A2" s="805"/>
      <c r="B2" s="806"/>
      <c r="C2" s="139" t="s">
        <v>178</v>
      </c>
      <c r="D2" s="140"/>
    </row>
    <row r="3" spans="1:8" ht="183.75" customHeight="1" x14ac:dyDescent="0.45">
      <c r="A3" s="807" t="s">
        <v>129</v>
      </c>
      <c r="B3" s="141" t="s">
        <v>130</v>
      </c>
      <c r="C3" s="142" t="s">
        <v>179</v>
      </c>
      <c r="D3" s="142" t="s">
        <v>131</v>
      </c>
      <c r="H3" s="143" t="s">
        <v>287</v>
      </c>
    </row>
    <row r="4" spans="1:8" ht="183.75" customHeight="1" x14ac:dyDescent="0.45">
      <c r="A4" s="808"/>
      <c r="B4" s="141" t="s">
        <v>130</v>
      </c>
      <c r="C4" s="142" t="s">
        <v>288</v>
      </c>
      <c r="D4" s="142" t="s">
        <v>289</v>
      </c>
    </row>
    <row r="5" spans="1:8" ht="183.75" customHeight="1" x14ac:dyDescent="0.45">
      <c r="A5" s="809"/>
      <c r="B5" s="141" t="s">
        <v>130</v>
      </c>
      <c r="C5" s="142" t="s">
        <v>133</v>
      </c>
      <c r="D5" s="142" t="s">
        <v>134</v>
      </c>
    </row>
    <row r="6" spans="1:8" ht="183.75" customHeight="1" x14ac:dyDescent="0.45">
      <c r="A6" s="802" t="s">
        <v>32</v>
      </c>
      <c r="B6" s="144" t="s">
        <v>130</v>
      </c>
      <c r="C6" s="145" t="s">
        <v>135</v>
      </c>
      <c r="D6" s="145" t="s">
        <v>290</v>
      </c>
    </row>
    <row r="7" spans="1:8" ht="183.75" customHeight="1" x14ac:dyDescent="0.45">
      <c r="A7" s="803"/>
      <c r="B7" s="144" t="s">
        <v>130</v>
      </c>
      <c r="C7" s="145" t="s">
        <v>136</v>
      </c>
      <c r="D7" s="145" t="s">
        <v>137</v>
      </c>
    </row>
    <row r="8" spans="1:8" ht="183.75" customHeight="1" x14ac:dyDescent="0.45">
      <c r="A8" s="804"/>
      <c r="B8" s="144" t="s">
        <v>130</v>
      </c>
      <c r="C8" s="145" t="s">
        <v>138</v>
      </c>
      <c r="D8" s="145" t="s">
        <v>139</v>
      </c>
    </row>
    <row r="9" spans="1:8" ht="183.75" customHeight="1" x14ac:dyDescent="0.45">
      <c r="A9" s="799" t="s">
        <v>140</v>
      </c>
      <c r="B9" s="141" t="s">
        <v>130</v>
      </c>
      <c r="C9" s="142" t="s">
        <v>141</v>
      </c>
      <c r="D9" s="142" t="s">
        <v>142</v>
      </c>
    </row>
    <row r="10" spans="1:8" ht="183.75" customHeight="1" x14ac:dyDescent="0.45">
      <c r="A10" s="801"/>
      <c r="B10" s="141" t="s">
        <v>130</v>
      </c>
      <c r="C10" s="142" t="s">
        <v>143</v>
      </c>
      <c r="D10" s="142" t="s">
        <v>144</v>
      </c>
    </row>
    <row r="11" spans="1:8" ht="183.75" customHeight="1" x14ac:dyDescent="0.45">
      <c r="A11" s="146" t="s">
        <v>29</v>
      </c>
      <c r="B11" s="144" t="s">
        <v>130</v>
      </c>
      <c r="C11" s="145" t="s">
        <v>145</v>
      </c>
      <c r="D11" s="145" t="s">
        <v>291</v>
      </c>
    </row>
    <row r="12" spans="1:8" ht="183.75" customHeight="1" x14ac:dyDescent="0.45">
      <c r="A12" s="807" t="s">
        <v>34</v>
      </c>
      <c r="B12" s="141" t="s">
        <v>130</v>
      </c>
      <c r="C12" s="142" t="s">
        <v>146</v>
      </c>
      <c r="D12" s="142" t="s">
        <v>147</v>
      </c>
    </row>
    <row r="13" spans="1:8" ht="183.75" customHeight="1" x14ac:dyDescent="0.45">
      <c r="A13" s="809"/>
      <c r="B13" s="141" t="s">
        <v>130</v>
      </c>
      <c r="C13" s="142" t="s">
        <v>148</v>
      </c>
      <c r="D13" s="142" t="s">
        <v>149</v>
      </c>
    </row>
    <row r="14" spans="1:8" ht="183.75" customHeight="1" x14ac:dyDescent="0.45">
      <c r="A14" s="810" t="s">
        <v>150</v>
      </c>
      <c r="B14" s="144" t="s">
        <v>130</v>
      </c>
      <c r="C14" s="145" t="s">
        <v>151</v>
      </c>
      <c r="D14" s="145" t="s">
        <v>152</v>
      </c>
    </row>
    <row r="15" spans="1:8" ht="183.75" customHeight="1" x14ac:dyDescent="0.45">
      <c r="A15" s="811"/>
      <c r="B15" s="144" t="s">
        <v>130</v>
      </c>
      <c r="C15" s="145" t="s">
        <v>153</v>
      </c>
      <c r="D15" s="145" t="s">
        <v>154</v>
      </c>
    </row>
    <row r="16" spans="1:8" ht="183.75" customHeight="1" x14ac:dyDescent="0.45">
      <c r="A16" s="799" t="s">
        <v>33</v>
      </c>
      <c r="B16" s="141" t="s">
        <v>130</v>
      </c>
      <c r="C16" s="142" t="s">
        <v>155</v>
      </c>
      <c r="D16" s="142" t="s">
        <v>156</v>
      </c>
    </row>
    <row r="17" spans="1:4" ht="183.75" customHeight="1" x14ac:dyDescent="0.45">
      <c r="A17" s="800"/>
      <c r="B17" s="141" t="s">
        <v>130</v>
      </c>
      <c r="C17" s="142" t="s">
        <v>157</v>
      </c>
      <c r="D17" s="142" t="s">
        <v>158</v>
      </c>
    </row>
    <row r="18" spans="1:4" ht="183.75" customHeight="1" x14ac:dyDescent="0.45">
      <c r="A18" s="801"/>
      <c r="B18" s="141" t="s">
        <v>130</v>
      </c>
      <c r="C18" s="142" t="s">
        <v>159</v>
      </c>
      <c r="D18" s="142" t="s">
        <v>160</v>
      </c>
    </row>
    <row r="19" spans="1:4" ht="183.75" customHeight="1" x14ac:dyDescent="0.45">
      <c r="A19" s="802" t="s">
        <v>27</v>
      </c>
      <c r="B19" s="144" t="s">
        <v>130</v>
      </c>
      <c r="C19" s="145" t="s">
        <v>161</v>
      </c>
      <c r="D19" s="145" t="s">
        <v>162</v>
      </c>
    </row>
    <row r="20" spans="1:4" ht="183.75" customHeight="1" x14ac:dyDescent="0.45">
      <c r="A20" s="803"/>
      <c r="B20" s="144" t="s">
        <v>130</v>
      </c>
      <c r="C20" s="145" t="s">
        <v>163</v>
      </c>
      <c r="D20" s="145" t="s">
        <v>164</v>
      </c>
    </row>
    <row r="21" spans="1:4" ht="183.75" customHeight="1" x14ac:dyDescent="0.45">
      <c r="A21" s="803"/>
      <c r="B21" s="144" t="s">
        <v>130</v>
      </c>
      <c r="C21" s="145" t="s">
        <v>165</v>
      </c>
      <c r="D21" s="145" t="s">
        <v>166</v>
      </c>
    </row>
    <row r="22" spans="1:4" ht="183.75" customHeight="1" x14ac:dyDescent="0.45">
      <c r="A22" s="804"/>
      <c r="B22" s="144" t="s">
        <v>130</v>
      </c>
      <c r="C22" s="145" t="s">
        <v>167</v>
      </c>
      <c r="D22" s="145" t="s">
        <v>168</v>
      </c>
    </row>
  </sheetData>
  <mergeCells count="8">
    <mergeCell ref="A16:A18"/>
    <mergeCell ref="A19:A22"/>
    <mergeCell ref="A2:B2"/>
    <mergeCell ref="A3:A5"/>
    <mergeCell ref="A6:A8"/>
    <mergeCell ref="A9:A10"/>
    <mergeCell ref="A12:A13"/>
    <mergeCell ref="A14:A15"/>
  </mergeCells>
  <pageMargins left="0.511811024" right="0.511811024" top="0.78740157499999996" bottom="0.78740157499999996" header="0.31496062000000002" footer="0.31496062000000002"/>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K33"/>
  <sheetViews>
    <sheetView showGridLines="0" topLeftCell="A2" zoomScale="80" zoomScaleNormal="80" workbookViewId="0">
      <pane xSplit="1" ySplit="2" topLeftCell="B4" activePane="bottomRight" state="frozen"/>
      <selection activeCell="A2" sqref="A2"/>
      <selection pane="topRight" activeCell="B2" sqref="B2"/>
      <selection pane="bottomLeft" activeCell="A4" sqref="A4"/>
      <selection pane="bottomRight" activeCell="AK6" sqref="AK6"/>
    </sheetView>
  </sheetViews>
  <sheetFormatPr defaultRowHeight="15.75" x14ac:dyDescent="0.25"/>
  <cols>
    <col min="1" max="1" width="13.28515625" style="359" hidden="1" customWidth="1"/>
    <col min="2" max="2" width="15.42578125" style="412" hidden="1" customWidth="1"/>
    <col min="3" max="9" width="15.5703125" style="412" hidden="1" customWidth="1"/>
    <col min="10" max="10" width="16.140625" style="388" hidden="1" customWidth="1"/>
    <col min="11" max="11" width="5" style="387" hidden="1" customWidth="1"/>
    <col min="12" max="14" width="15.42578125" style="388" hidden="1" customWidth="1"/>
    <col min="15" max="15" width="2.28515625" style="388" hidden="1" customWidth="1"/>
    <col min="16" max="17" width="16.42578125" style="388" hidden="1" customWidth="1"/>
    <col min="18" max="18" width="5.140625" style="389" hidden="1" customWidth="1"/>
    <col min="19" max="19" width="15.42578125" style="388" hidden="1" customWidth="1"/>
    <col min="20" max="20" width="2.85546875" style="389" hidden="1" customWidth="1"/>
    <col min="21" max="21" width="16.140625" style="388" hidden="1" customWidth="1"/>
    <col min="22" max="22" width="2.85546875" style="389" hidden="1" customWidth="1"/>
    <col min="23" max="23" width="16.42578125" style="431" hidden="1" customWidth="1"/>
    <col min="24" max="24" width="16.42578125" style="432" hidden="1" customWidth="1"/>
    <col min="25" max="25" width="16.42578125" style="431" hidden="1" customWidth="1"/>
    <col min="26" max="26" width="16.42578125" style="432" hidden="1" customWidth="1"/>
    <col min="27" max="27" width="16.42578125" style="431" hidden="1" customWidth="1"/>
    <col min="28" max="28" width="2.85546875" style="61" hidden="1" customWidth="1"/>
    <col min="29" max="29" width="11.28515625" style="61" hidden="1" customWidth="1"/>
    <col min="30" max="30" width="3.28515625" style="61" hidden="1" customWidth="1"/>
    <col min="31" max="31" width="18.85546875" style="61" hidden="1" customWidth="1"/>
    <col min="32" max="32" width="9.85546875" style="61" hidden="1" customWidth="1"/>
    <col min="33" max="33" width="39.140625" style="390" bestFit="1" customWidth="1"/>
    <col min="34" max="34" width="16.5703125" style="390" bestFit="1" customWidth="1"/>
    <col min="35" max="35" width="1" style="61" customWidth="1"/>
    <col min="36" max="36" width="39" style="390" bestFit="1" customWidth="1"/>
    <col min="37" max="37" width="15.5703125" style="61" bestFit="1" customWidth="1"/>
    <col min="38" max="16384" width="9.140625" style="61"/>
  </cols>
  <sheetData>
    <row r="1" spans="1:37" ht="16.5" hidden="1" thickBot="1" x14ac:dyDescent="0.3">
      <c r="A1" s="501" t="s">
        <v>773</v>
      </c>
      <c r="B1" s="502">
        <v>0.8</v>
      </c>
      <c r="C1" s="502"/>
      <c r="D1" s="502"/>
      <c r="E1" s="502"/>
      <c r="F1" s="502"/>
      <c r="G1" s="502"/>
      <c r="H1" s="502"/>
      <c r="I1" s="502"/>
      <c r="J1" s="502"/>
      <c r="L1" s="503" t="s">
        <v>774</v>
      </c>
      <c r="M1" s="504"/>
      <c r="N1" s="505"/>
      <c r="P1" s="509" t="s">
        <v>775</v>
      </c>
      <c r="Q1" s="510"/>
      <c r="S1" s="504" t="s">
        <v>776</v>
      </c>
      <c r="U1" s="504" t="s">
        <v>777</v>
      </c>
      <c r="W1" s="502" t="s">
        <v>778</v>
      </c>
      <c r="X1" s="502"/>
      <c r="Y1" s="502"/>
      <c r="Z1" s="502"/>
      <c r="AA1" s="502"/>
    </row>
    <row r="2" spans="1:37" s="395" customFormat="1" ht="16.5" thickBot="1" x14ac:dyDescent="0.3">
      <c r="A2" s="501"/>
      <c r="B2" s="511" t="s">
        <v>779</v>
      </c>
      <c r="C2" s="511"/>
      <c r="D2" s="511"/>
      <c r="E2" s="511" t="s">
        <v>780</v>
      </c>
      <c r="F2" s="511"/>
      <c r="G2" s="511"/>
      <c r="H2" s="512" t="s">
        <v>781</v>
      </c>
      <c r="I2" s="512" t="s">
        <v>782</v>
      </c>
      <c r="J2" s="514" t="s">
        <v>783</v>
      </c>
      <c r="K2" s="391"/>
      <c r="L2" s="506"/>
      <c r="M2" s="507"/>
      <c r="N2" s="508"/>
      <c r="O2" s="392"/>
      <c r="P2" s="509"/>
      <c r="Q2" s="510"/>
      <c r="R2" s="393"/>
      <c r="S2" s="507"/>
      <c r="T2" s="393"/>
      <c r="U2" s="507"/>
      <c r="V2" s="393"/>
      <c r="W2" s="511" t="s">
        <v>779</v>
      </c>
      <c r="X2" s="511"/>
      <c r="Y2" s="511" t="s">
        <v>780</v>
      </c>
      <c r="Z2" s="511"/>
      <c r="AA2" s="394" t="s">
        <v>781</v>
      </c>
      <c r="AC2" s="515" t="s">
        <v>784</v>
      </c>
      <c r="AE2" s="515" t="s">
        <v>785</v>
      </c>
      <c r="AG2" s="396" t="s">
        <v>786</v>
      </c>
      <c r="AH2" s="397" t="s">
        <v>787</v>
      </c>
      <c r="AJ2" s="517" t="s">
        <v>788</v>
      </c>
      <c r="AK2" s="518"/>
    </row>
    <row r="3" spans="1:37" s="407" customFormat="1" ht="20.25" customHeight="1" thickBot="1" x14ac:dyDescent="0.3">
      <c r="A3" s="501"/>
      <c r="B3" s="398" t="s">
        <v>789</v>
      </c>
      <c r="C3" s="398" t="s">
        <v>790</v>
      </c>
      <c r="D3" s="398" t="s">
        <v>791</v>
      </c>
      <c r="E3" s="398" t="s">
        <v>789</v>
      </c>
      <c r="F3" s="398" t="s">
        <v>790</v>
      </c>
      <c r="G3" s="398" t="s">
        <v>791</v>
      </c>
      <c r="H3" s="513"/>
      <c r="I3" s="513"/>
      <c r="J3" s="513"/>
      <c r="K3" s="399"/>
      <c r="L3" s="398" t="s">
        <v>792</v>
      </c>
      <c r="M3" s="398" t="s">
        <v>793</v>
      </c>
      <c r="N3" s="398" t="s">
        <v>794</v>
      </c>
      <c r="O3" s="400"/>
      <c r="P3" s="398" t="s">
        <v>795</v>
      </c>
      <c r="Q3" s="398" t="s">
        <v>796</v>
      </c>
      <c r="R3" s="401"/>
      <c r="S3" s="402" t="s">
        <v>797</v>
      </c>
      <c r="T3" s="401"/>
      <c r="U3" s="402" t="s">
        <v>798</v>
      </c>
      <c r="V3" s="401"/>
      <c r="W3" s="403" t="s">
        <v>799</v>
      </c>
      <c r="X3" s="404" t="s">
        <v>800</v>
      </c>
      <c r="Y3" s="405" t="s">
        <v>799</v>
      </c>
      <c r="Z3" s="404" t="s">
        <v>800</v>
      </c>
      <c r="AA3" s="406" t="s">
        <v>799</v>
      </c>
      <c r="AC3" s="516"/>
      <c r="AE3" s="516"/>
      <c r="AG3" s="408" t="s">
        <v>9</v>
      </c>
      <c r="AH3" s="409">
        <f>AH4+AH14+AH15+AH16</f>
        <v>10264202.911632799</v>
      </c>
      <c r="AJ3" s="408" t="s">
        <v>801</v>
      </c>
      <c r="AK3" s="410">
        <f>VLOOKUP($AH$2,'Tabela Resumo'!$A$4:$Q$30,16,)</f>
        <v>672962.27</v>
      </c>
    </row>
    <row r="4" spans="1:37" ht="16.5" thickBot="1" x14ac:dyDescent="0.3">
      <c r="A4" s="411" t="s">
        <v>802</v>
      </c>
      <c r="B4" s="412">
        <f>VLOOKUP($A$4:$A$30,'[3]ANEXO III Anexo IX (100 e 80%)'!$AW$6:$CA$38,7,)</f>
        <v>133747.57999999999</v>
      </c>
      <c r="C4" s="412">
        <f>VLOOKUP($A$4:$A$30,'[3]ANEXO III Anexo IX (100 e 80%)'!$AW$6:$CA$38,8,)</f>
        <v>28680.300000000003</v>
      </c>
      <c r="D4" s="412">
        <f>B4+C4</f>
        <v>162427.88</v>
      </c>
      <c r="E4" s="412">
        <f>VLOOKUP($A$4:$A$30,'[3]ANEXO III Anexo IX (100 e 80%)'!$AW$6:$CA$38,17,)</f>
        <v>23984.199999999997</v>
      </c>
      <c r="F4" s="412">
        <f>VLOOKUP($A$4:$A$30,'[3]ANEXO III Anexo IX (100 e 80%)'!$AW$6:$CA$38,18,)</f>
        <v>7609.2800000000007</v>
      </c>
      <c r="G4" s="412">
        <f>E4+F4</f>
        <v>31593.479999999996</v>
      </c>
      <c r="H4" s="412">
        <f>VLOOKUP($A$4:$A$30,'[3]ANEXO III Anexo IX (100 e 80%)'!$AW$6:$CA$38,25,)</f>
        <v>206165.16</v>
      </c>
      <c r="I4" s="412">
        <f>VLOOKUP($A$4:$A$30,'[3]ANEXO III Anexo IX (100 e 80%)'!$AW$6:$CA$38,31,)</f>
        <v>17772.46</v>
      </c>
      <c r="J4" s="413">
        <f>I4+H4+G4+D4</f>
        <v>417958.98</v>
      </c>
      <c r="K4" s="387">
        <f>J4-VLOOKUP($A$4:$A$30,'[3]ANEXO III Anexo IX (100 e 80%)'!$AW$6:$CM$38,43,)</f>
        <v>0</v>
      </c>
      <c r="L4" s="412">
        <f>VLOOKUP($A$4:$A$30,'[3]Anexo X-Aporte FA com exerc.'!$A$4:$C$33,3,)</f>
        <v>8886.3719062368</v>
      </c>
      <c r="M4" s="412">
        <f>VLOOKUP($A$4:$A$30,'[3]Anexo X-Repasse FA com exerc.'!$A$4:$G$17,7,)</f>
        <v>15440</v>
      </c>
      <c r="N4" s="412">
        <f>VLOOKUP($A$4:$A$30,'[3]Anexo X-Repasse FA com exerc.'!$A$4:$H$17,8,)</f>
        <v>725098.30599999998</v>
      </c>
      <c r="P4" s="412">
        <f>VLOOKUP($A$4:$A$30,'[3]ANEXO XI - CSC Total'!$A$3:$F$37,4,)</f>
        <v>27551.08</v>
      </c>
      <c r="Q4" s="412">
        <f>VLOOKUP($A$4:$A$30,'[3]ANEXO XI - CSC Total'!$A$3:$F$37,6,)-P4</f>
        <v>4007.6900000000023</v>
      </c>
      <c r="R4" s="389">
        <f>VLOOKUP($A$4:$A$30,'[3]ANEXO XI - CSC Total'!$A$3:$F$35,3,)+VLOOKUP($A$4:$A$30,'[3]ANEXO XI - CSC Total'!$A$3:$F$35,5,)-Q4</f>
        <v>0</v>
      </c>
      <c r="S4" s="412"/>
      <c r="U4" s="412">
        <f>VLOOKUP($A$4:$A$30,'[3]XIII. TAXAS BANCÁRIAS'!$A$3:$D$33,4,)</f>
        <v>2285.4278712000005</v>
      </c>
      <c r="W4" s="414">
        <f>VLOOKUP($A$4:$A$30,'[3]ANEXO I'!$A$5:$Y$37,3,)</f>
        <v>678</v>
      </c>
      <c r="X4" s="415">
        <f>VLOOKUP($A$4:$A$30,'[3]ANEXO I'!$A$5:$Y$37,12,)</f>
        <v>36.106983655274895</v>
      </c>
      <c r="Y4" s="414">
        <f>VLOOKUP($A$4:$A$30,'[3]ANEXO I'!$A$5:$Y$37,15,)</f>
        <v>141</v>
      </c>
      <c r="Z4" s="415">
        <f>VLOOKUP($A$4:$A$30,'[3]ANEXO I'!$A$5:$Y$37,21,)</f>
        <v>51.773049645390074</v>
      </c>
      <c r="AA4" s="414">
        <f>VLOOKUP($A$4:$A$30,'[3]ANEXO I'!$A$5:$Y$37,24,)</f>
        <v>2631</v>
      </c>
      <c r="AC4" s="389">
        <f>VLOOKUP($A$4:$A$30,'[3]ANEXO XI.II Enc de Contas'!$A$2:$D$32,4,)</f>
        <v>125.71464735060655</v>
      </c>
      <c r="AE4" s="389">
        <f>VLOOKUP($A$4:$A$30,'[4]Demonstrativos 2020'!$A$6:$Y$32,25,)</f>
        <v>669680.75</v>
      </c>
      <c r="AG4" s="416" t="s">
        <v>97</v>
      </c>
      <c r="AH4" s="417">
        <f>AH5+AH12+AH13</f>
        <v>10220993.389999999</v>
      </c>
      <c r="AJ4" s="416" t="s">
        <v>803</v>
      </c>
      <c r="AK4" s="410">
        <f>VLOOKUP($AH$2,'Tabela Resumo'!$A$4:$Q$30,17,)</f>
        <v>101585.59000000008</v>
      </c>
    </row>
    <row r="5" spans="1:37" ht="16.5" thickBot="1" x14ac:dyDescent="0.3">
      <c r="A5" s="411" t="s">
        <v>804</v>
      </c>
      <c r="B5" s="412">
        <f>VLOOKUP($A$4:$A$30,'[3]ANEXO III Anexo IX (100 e 80%)'!$AW$6:$CA$38,7,)</f>
        <v>449510.76</v>
      </c>
      <c r="C5" s="412">
        <f>VLOOKUP($A$4:$A$30,'[3]ANEXO III Anexo IX (100 e 80%)'!$AW$6:$CA$38,8,)</f>
        <v>134760.29999999999</v>
      </c>
      <c r="D5" s="412">
        <f t="shared" ref="D5:D30" si="0">B5+C5</f>
        <v>584271.06000000006</v>
      </c>
      <c r="E5" s="412">
        <f>VLOOKUP($A$4:$A$30,'[3]ANEXO III Anexo IX (100 e 80%)'!$AW$6:$CA$38,17,)</f>
        <v>24673.53</v>
      </c>
      <c r="F5" s="412">
        <f>VLOOKUP($A$4:$A$30,'[3]ANEXO III Anexo IX (100 e 80%)'!$AW$6:$CA$38,18,)</f>
        <v>19201.419999999998</v>
      </c>
      <c r="G5" s="412">
        <f t="shared" ref="G5:G30" si="1">E5+F5</f>
        <v>43874.95</v>
      </c>
      <c r="H5" s="412">
        <f>VLOOKUP($A$4:$A$30,'[3]ANEXO III Anexo IX (100 e 80%)'!$AW$6:$CA$38,25,)</f>
        <v>557139.60000000009</v>
      </c>
      <c r="I5" s="412">
        <f>VLOOKUP($A$4:$A$30,'[3]ANEXO III Anexo IX (100 e 80%)'!$AW$6:$CA$38,31,)</f>
        <v>65651.72</v>
      </c>
      <c r="J5" s="413">
        <f t="shared" ref="J5:J30" si="2">I5+H5+G5+D5</f>
        <v>1250937.33</v>
      </c>
      <c r="K5" s="387">
        <f>J5-VLOOKUP($A$4:$A$30,'[3]ANEXO III Anexo IX (100 e 80%)'!$AW$6:$CM$38,43,)</f>
        <v>0</v>
      </c>
      <c r="L5" s="412">
        <f>VLOOKUP($A$4:$A$30,'[3]Anexo X-Aporte FA com exerc.'!$A$4:$C$33,3,)</f>
        <v>27060.663373845902</v>
      </c>
      <c r="M5" s="412">
        <f>VLOOKUP($A$4:$A$30,'[3]Anexo X-Repasse FA com exerc.'!$A$4:$G$17,7,)</f>
        <v>3410</v>
      </c>
      <c r="N5" s="412">
        <f>VLOOKUP($A$4:$A$30,'[3]Anexo X-Repasse FA com exerc.'!$A$4:$H$17,8,)</f>
        <v>163632.839637481</v>
      </c>
      <c r="P5" s="412">
        <f>VLOOKUP($A$4:$A$30,'[3]ANEXO XI - CSC Total'!$A$3:$F$37,4,)</f>
        <v>83898.19</v>
      </c>
      <c r="Q5" s="412">
        <f>VLOOKUP($A$4:$A$30,'[3]ANEXO XI - CSC Total'!$A$3:$F$37,6,)-P5</f>
        <v>12067.23000000001</v>
      </c>
      <c r="R5" s="389">
        <f>VLOOKUP($A$4:$A$30,'[3]ANEXO XI - CSC Total'!$A$3:$F$35,3,)+VLOOKUP($A$4:$A$30,'[3]ANEXO XI - CSC Total'!$A$3:$F$35,5,)-Q5</f>
        <v>0</v>
      </c>
      <c r="S5" s="412"/>
      <c r="U5" s="412">
        <f>VLOOKUP($A$4:$A$30,'[3]XIII. TAXAS BANCÁRIAS'!$A$3:$D$33,4,)</f>
        <v>5405.8382172000011</v>
      </c>
      <c r="W5" s="414">
        <f>VLOOKUP($A$4:$A$30,'[3]ANEXO I'!$A$5:$Y$37,3,)</f>
        <v>2099</v>
      </c>
      <c r="X5" s="415">
        <f>VLOOKUP($A$4:$A$30,'[3]ANEXO I'!$A$5:$Y$37,12,)</f>
        <v>33.788395904436868</v>
      </c>
      <c r="Y5" s="414">
        <f>VLOOKUP($A$4:$A$30,'[3]ANEXO I'!$A$5:$Y$37,15,)</f>
        <v>166</v>
      </c>
      <c r="Z5" s="415">
        <f>VLOOKUP($A$4:$A$30,'[3]ANEXO I'!$A$5:$Y$37,21,)</f>
        <v>56.626506024096386</v>
      </c>
      <c r="AA5" s="414">
        <f>VLOOKUP($A$4:$A$30,'[3]ANEXO I'!$A$5:$Y$37,24,)</f>
        <v>7110</v>
      </c>
      <c r="AC5" s="389">
        <f>VLOOKUP($A$4:$A$30,'[3]ANEXO XI.II Enc de Contas'!$A$2:$D$32,4,)</f>
        <v>200.73660509668446</v>
      </c>
      <c r="AE5" s="389">
        <f>VLOOKUP($A$4:$A$30,'[4]Demonstrativos 2020'!$A$6:$Y$32,25,)</f>
        <v>459563.48000000004</v>
      </c>
      <c r="AG5" s="416" t="s">
        <v>10</v>
      </c>
      <c r="AH5" s="417">
        <f>AH6+AH9</f>
        <v>5346724.3999999994</v>
      </c>
      <c r="AJ5" s="416" t="s">
        <v>805</v>
      </c>
      <c r="AK5" s="410">
        <f>VLOOKUP($AH$2,'Tabela Resumo'!$A$4:$S$30,19,)</f>
        <v>0</v>
      </c>
    </row>
    <row r="6" spans="1:37" ht="16.5" thickBot="1" x14ac:dyDescent="0.3">
      <c r="A6" s="411" t="s">
        <v>806</v>
      </c>
      <c r="B6" s="412">
        <f>VLOOKUP($A$4:$A$30,'[3]ANEXO III Anexo IX (100 e 80%)'!$AW$6:$CA$38,7,)</f>
        <v>416901.95999999996</v>
      </c>
      <c r="C6" s="412">
        <f>VLOOKUP($A$4:$A$30,'[3]ANEXO III Anexo IX (100 e 80%)'!$AW$6:$CA$38,8,)</f>
        <v>121138.21</v>
      </c>
      <c r="D6" s="412">
        <f t="shared" si="0"/>
        <v>538040.16999999993</v>
      </c>
      <c r="E6" s="412">
        <f>VLOOKUP($A$4:$A$30,'[3]ANEXO III Anexo IX (100 e 80%)'!$AW$6:$CA$38,17,)</f>
        <v>36262.19</v>
      </c>
      <c r="F6" s="412">
        <f>VLOOKUP($A$4:$A$30,'[3]ANEXO III Anexo IX (100 e 80%)'!$AW$6:$CA$38,18,)</f>
        <v>21504.720000000001</v>
      </c>
      <c r="G6" s="412">
        <f t="shared" si="1"/>
        <v>57766.91</v>
      </c>
      <c r="H6" s="412">
        <f>VLOOKUP($A$4:$A$30,'[3]ANEXO III Anexo IX (100 e 80%)'!$AW$6:$CA$38,25,)</f>
        <v>469924.92000000004</v>
      </c>
      <c r="I6" s="412">
        <f>VLOOKUP($A$4:$A$30,'[3]ANEXO III Anexo IX (100 e 80%)'!$AW$6:$CA$38,31,)</f>
        <v>56137.91</v>
      </c>
      <c r="J6" s="413">
        <f t="shared" si="2"/>
        <v>1121869.9100000001</v>
      </c>
      <c r="K6" s="387">
        <f>J6-VLOOKUP($A$4:$A$30,'[3]ANEXO III Anexo IX (100 e 80%)'!$AW$6:$CM$38,43,)</f>
        <v>0</v>
      </c>
      <c r="L6" s="412">
        <f>VLOOKUP($A$4:$A$30,'[3]Anexo X-Aporte FA com exerc.'!$A$4:$C$33,3,)</f>
        <v>23711.527574288149</v>
      </c>
      <c r="M6" s="412">
        <f>VLOOKUP($A$4:$A$30,'[3]Anexo X-Repasse FA com exerc.'!$A$4:$G$17,7,)</f>
        <v>16040</v>
      </c>
      <c r="N6" s="412">
        <f>VLOOKUP($A$4:$A$30,'[3]Anexo X-Repasse FA com exerc.'!$A$4:$H$17,8,)</f>
        <v>153549.014</v>
      </c>
      <c r="P6" s="412">
        <f>VLOOKUP($A$4:$A$30,'[3]ANEXO XI - CSC Total'!$A$3:$F$37,4,)</f>
        <v>73514.62</v>
      </c>
      <c r="Q6" s="412">
        <f>VLOOKUP($A$4:$A$30,'[3]ANEXO XI - CSC Total'!$A$3:$F$37,6,)-P6</f>
        <v>10371.350000000006</v>
      </c>
      <c r="R6" s="389">
        <f>VLOOKUP($A$4:$A$30,'[3]ANEXO XI - CSC Total'!$A$3:$F$35,3,)+VLOOKUP($A$4:$A$30,'[3]ANEXO XI - CSC Total'!$A$3:$F$35,5,)-Q6</f>
        <v>0</v>
      </c>
      <c r="S6" s="412"/>
      <c r="U6" s="412">
        <f>VLOOKUP($A$4:$A$30,'[3]XIII. TAXAS BANCÁRIAS'!$A$3:$D$33,4,)</f>
        <v>5075.7845020000004</v>
      </c>
      <c r="W6" s="414">
        <f>VLOOKUP($A$4:$A$30,'[3]ANEXO I'!$A$5:$Y$37,3,)</f>
        <v>1900</v>
      </c>
      <c r="X6" s="415">
        <f>VLOOKUP($A$4:$A$30,'[3]ANEXO I'!$A$5:$Y$37,12,)</f>
        <v>32.292218104817366</v>
      </c>
      <c r="Y6" s="414">
        <f>VLOOKUP($A$4:$A$30,'[3]ANEXO I'!$A$5:$Y$37,15,)</f>
        <v>249</v>
      </c>
      <c r="Z6" s="415">
        <f>VLOOKUP($A$4:$A$30,'[3]ANEXO I'!$A$5:$Y$37,21,)</f>
        <v>52.610441767068274</v>
      </c>
      <c r="AA6" s="414">
        <f>VLOOKUP($A$4:$A$30,'[3]ANEXO I'!$A$5:$Y$37,24,)</f>
        <v>5997</v>
      </c>
      <c r="AC6" s="389">
        <f>VLOOKUP($A$4:$A$30,'[3]ANEXO XI.II Enc de Contas'!$A$2:$D$32,4,)</f>
        <v>259.41679187913746</v>
      </c>
      <c r="AE6" s="389">
        <f>VLOOKUP($A$4:$A$30,'[4]Demonstrativos 2020'!$A$6:$Y$32,25,)</f>
        <v>984059.28000000014</v>
      </c>
      <c r="AG6" s="416" t="s">
        <v>11</v>
      </c>
      <c r="AH6" s="418">
        <f>SUM(AH7:AH8)</f>
        <v>4853452.6399999997</v>
      </c>
      <c r="AJ6" s="416" t="s">
        <v>807</v>
      </c>
      <c r="AK6" s="410">
        <f>VLOOKUP($AH$2,'Tabela Resumo'!$A$4:$M$30,12,)</f>
        <v>217058.37884926912</v>
      </c>
    </row>
    <row r="7" spans="1:37" ht="16.5" thickBot="1" x14ac:dyDescent="0.3">
      <c r="A7" s="411" t="s">
        <v>808</v>
      </c>
      <c r="B7" s="412">
        <f>VLOOKUP($A$4:$A$30,'[3]ANEXO III Anexo IX (100 e 80%)'!$AW$6:$CA$38,7,)</f>
        <v>149612.31</v>
      </c>
      <c r="C7" s="412">
        <f>VLOOKUP($A$4:$A$30,'[3]ANEXO III Anexo IX (100 e 80%)'!$AW$6:$CA$38,8,)</f>
        <v>40871.729999999996</v>
      </c>
      <c r="D7" s="412">
        <f t="shared" si="0"/>
        <v>190484.03999999998</v>
      </c>
      <c r="E7" s="412">
        <f>VLOOKUP($A$4:$A$30,'[3]ANEXO III Anexo IX (100 e 80%)'!$AW$6:$CA$38,17,)</f>
        <v>25154.1</v>
      </c>
      <c r="F7" s="412">
        <f>VLOOKUP($A$4:$A$30,'[3]ANEXO III Anexo IX (100 e 80%)'!$AW$6:$CA$38,18,)</f>
        <v>22426.170000000002</v>
      </c>
      <c r="G7" s="412">
        <f t="shared" si="1"/>
        <v>47580.270000000004</v>
      </c>
      <c r="H7" s="412">
        <f>VLOOKUP($A$4:$A$30,'[3]ANEXO III Anexo IX (100 e 80%)'!$AW$6:$CA$38,25,)</f>
        <v>259685.03999999998</v>
      </c>
      <c r="I7" s="412">
        <f>VLOOKUP($A$4:$A$30,'[3]ANEXO III Anexo IX (100 e 80%)'!$AW$6:$CA$38,31,)</f>
        <v>21749.200000000001</v>
      </c>
      <c r="J7" s="413">
        <f t="shared" si="2"/>
        <v>519498.55</v>
      </c>
      <c r="K7" s="387">
        <f>J7-VLOOKUP($A$4:$A$30,'[3]ANEXO III Anexo IX (100 e 80%)'!$AW$6:$CM$38,43,)</f>
        <v>0</v>
      </c>
      <c r="L7" s="412">
        <f>VLOOKUP($A$4:$A$30,'[3]Anexo X-Aporte FA com exerc.'!$A$4:$C$33,3,)</f>
        <v>10905.553081020906</v>
      </c>
      <c r="M7" s="412">
        <f>VLOOKUP($A$4:$A$30,'[3]Anexo X-Repasse FA com exerc.'!$A$4:$G$17,7,)</f>
        <v>14440</v>
      </c>
      <c r="N7" s="412">
        <f>VLOOKUP($A$4:$A$30,'[3]Anexo X-Repasse FA com exerc.'!$A$4:$H$17,8,)</f>
        <v>639939.35599999991</v>
      </c>
      <c r="P7" s="412">
        <f>VLOOKUP($A$4:$A$30,'[3]ANEXO XI - CSC Total'!$A$3:$F$37,4,)</f>
        <v>33811.300000000003</v>
      </c>
      <c r="Q7" s="412">
        <f>VLOOKUP($A$4:$A$30,'[3]ANEXO XI - CSC Total'!$A$3:$F$37,6,)-P7</f>
        <v>4767.4499999999971</v>
      </c>
      <c r="R7" s="389">
        <f>VLOOKUP($A$4:$A$30,'[3]ANEXO XI - CSC Total'!$A$3:$F$35,3,)+VLOOKUP($A$4:$A$30,'[3]ANEXO XI - CSC Total'!$A$3:$F$35,5,)-Q7</f>
        <v>0</v>
      </c>
      <c r="S7" s="412"/>
      <c r="U7" s="412">
        <f>VLOOKUP($A$4:$A$30,'[3]XIII. TAXAS BANCÁRIAS'!$A$3:$D$33,4,)</f>
        <v>2505.8658024000006</v>
      </c>
      <c r="W7" s="414">
        <f>VLOOKUP($A$4:$A$30,'[3]ANEXO I'!$A$5:$Y$37,3,)</f>
        <v>802</v>
      </c>
      <c r="X7" s="415">
        <f>VLOOKUP($A$4:$A$30,'[3]ANEXO I'!$A$5:$Y$37,12,)</f>
        <v>42.322097378277157</v>
      </c>
      <c r="Y7" s="414">
        <f>VLOOKUP($A$4:$A$30,'[3]ANEXO I'!$A$5:$Y$37,15,)</f>
        <v>282</v>
      </c>
      <c r="Z7" s="415">
        <f>VLOOKUP($A$4:$A$30,'[3]ANEXO I'!$A$5:$Y$37,21,)</f>
        <v>70.212765957446805</v>
      </c>
      <c r="AA7" s="414">
        <f>VLOOKUP($A$4:$A$30,'[3]ANEXO I'!$A$5:$Y$37,24,)</f>
        <v>3314</v>
      </c>
      <c r="AC7" s="389">
        <f>VLOOKUP($A$4:$A$30,'[3]ANEXO XI.II Enc de Contas'!$A$2:$D$32,4,)</f>
        <v>85.126256442019425</v>
      </c>
      <c r="AE7" s="389">
        <f>VLOOKUP($A$4:$A$30,'[4]Demonstrativos 2020'!$A$6:$Y$32,25,)</f>
        <v>829755.32</v>
      </c>
      <c r="AG7" s="419" t="s">
        <v>251</v>
      </c>
      <c r="AH7" s="410">
        <f>VLOOKUP($AH$2,'Tabela Resumo'!$A$4:$I$30,2,)</f>
        <v>3864411.6599999997</v>
      </c>
      <c r="AJ7" s="416" t="s">
        <v>809</v>
      </c>
      <c r="AK7" s="410">
        <f>VLOOKUP($AH$2,'Tabela Resumo'!$A$4:$M$30,13,)</f>
        <v>0</v>
      </c>
    </row>
    <row r="8" spans="1:37" ht="16.5" thickBot="1" x14ac:dyDescent="0.3">
      <c r="A8" s="411" t="s">
        <v>810</v>
      </c>
      <c r="B8" s="412">
        <f>VLOOKUP($A$4:$A$30,'[3]ANEXO III Anexo IX (100 e 80%)'!$AW$6:$CA$38,7,)</f>
        <v>1308962.26</v>
      </c>
      <c r="C8" s="412">
        <f>VLOOKUP($A$4:$A$30,'[3]ANEXO III Anexo IX (100 e 80%)'!$AW$6:$CA$38,8,)</f>
        <v>294898.40000000002</v>
      </c>
      <c r="D8" s="412">
        <f t="shared" si="0"/>
        <v>1603860.6600000001</v>
      </c>
      <c r="E8" s="412">
        <f>VLOOKUP($A$4:$A$30,'[3]ANEXO III Anexo IX (100 e 80%)'!$AW$6:$CA$38,17,)</f>
        <v>180090.81</v>
      </c>
      <c r="F8" s="412">
        <f>VLOOKUP($A$4:$A$30,'[3]ANEXO III Anexo IX (100 e 80%)'!$AW$6:$CA$38,18,)</f>
        <v>80935.03</v>
      </c>
      <c r="G8" s="412">
        <f t="shared" si="1"/>
        <v>261025.84</v>
      </c>
      <c r="H8" s="412">
        <f>VLOOKUP($A$4:$A$30,'[3]ANEXO III Anexo IX (100 e 80%)'!$AW$6:$CA$38,25,)</f>
        <v>1401938.76</v>
      </c>
      <c r="I8" s="412">
        <f>VLOOKUP($A$4:$A$30,'[3]ANEXO III Anexo IX (100 e 80%)'!$AW$6:$CA$38,31,)</f>
        <v>146252.77000000002</v>
      </c>
      <c r="J8" s="413">
        <f t="shared" si="2"/>
        <v>3413078.0300000003</v>
      </c>
      <c r="K8" s="387">
        <f>J8-VLOOKUP($A$4:$A$30,'[3]ANEXO III Anexo IX (100 e 80%)'!$AW$6:$CM$38,43,)</f>
        <v>0</v>
      </c>
      <c r="L8" s="412">
        <f>VLOOKUP($A$4:$A$30,'[3]Anexo X-Aporte FA com exerc.'!$A$4:$C$33,3,)</f>
        <v>72887.98715279717</v>
      </c>
      <c r="M8" s="412"/>
      <c r="N8" s="412"/>
      <c r="P8" s="412">
        <f>VLOOKUP($A$4:$A$30,'[3]ANEXO XI - CSC Total'!$A$3:$F$37,4,)</f>
        <v>225980.06</v>
      </c>
      <c r="Q8" s="412">
        <f>VLOOKUP($A$4:$A$30,'[3]ANEXO XI - CSC Total'!$A$3:$F$37,6,)-P8</f>
        <v>33121.399999999994</v>
      </c>
      <c r="R8" s="389">
        <f>VLOOKUP($A$4:$A$30,'[3]ANEXO XI - CSC Total'!$A$3:$F$35,3,)+VLOOKUP($A$4:$A$30,'[3]ANEXO XI - CSC Total'!$A$3:$F$35,5,)-Q8</f>
        <v>0</v>
      </c>
      <c r="S8" s="412"/>
      <c r="U8" s="412">
        <f>VLOOKUP($A$4:$A$30,'[3]XIII. TAXAS BANCÁRIAS'!$A$3:$D$33,4,)</f>
        <v>12225.3708376</v>
      </c>
      <c r="W8" s="414">
        <f>VLOOKUP($A$4:$A$30,'[3]ANEXO I'!$A$5:$Y$37,3,)</f>
        <v>6994</v>
      </c>
      <c r="X8" s="415">
        <f>VLOOKUP($A$4:$A$30,'[3]ANEXO I'!$A$5:$Y$37,12,)</f>
        <v>30.852589641434264</v>
      </c>
      <c r="Y8" s="414">
        <f>VLOOKUP($A$4:$A$30,'[3]ANEXO I'!$A$5:$Y$37,15,)</f>
        <v>989</v>
      </c>
      <c r="Z8" s="415">
        <f>VLOOKUP($A$4:$A$30,'[3]ANEXO I'!$A$5:$Y$37,21,)</f>
        <v>50.960566228513649</v>
      </c>
      <c r="AA8" s="414">
        <f>VLOOKUP($A$4:$A$30,'[3]ANEXO I'!$A$5:$Y$37,24,)</f>
        <v>17891</v>
      </c>
      <c r="AC8" s="389">
        <f>VLOOKUP($A$4:$A$30,'[3]ANEXO XI.II Enc de Contas'!$A$2:$D$32,4,)</f>
        <v>2016.1972268285087</v>
      </c>
      <c r="AE8" s="389">
        <f>VLOOKUP($A$4:$A$30,'[4]Demonstrativos 2020'!$A$6:$Y$32,25,)</f>
        <v>6314976.8100000005</v>
      </c>
      <c r="AG8" s="419" t="s">
        <v>93</v>
      </c>
      <c r="AH8" s="410">
        <f>VLOOKUP($AH$2,'Tabela Resumo'!$A$4:$I$30,3,)</f>
        <v>989040.98</v>
      </c>
      <c r="AJ8" s="416" t="s">
        <v>784</v>
      </c>
      <c r="AK8" s="410">
        <f>VLOOKUP($AH$2,$A$4:$AE$30,29,)</f>
        <v>10976.459146965262</v>
      </c>
    </row>
    <row r="9" spans="1:37" ht="16.5" thickBot="1" x14ac:dyDescent="0.3">
      <c r="A9" s="411" t="s">
        <v>811</v>
      </c>
      <c r="B9" s="412">
        <f>VLOOKUP($A$4:$A$30,'[3]ANEXO III Anexo IX (100 e 80%)'!$AW$6:$CA$38,7,)</f>
        <v>819993.89</v>
      </c>
      <c r="C9" s="412">
        <f>VLOOKUP($A$4:$A$30,'[3]ANEXO III Anexo IX (100 e 80%)'!$AW$6:$CA$38,8,)</f>
        <v>168626.54</v>
      </c>
      <c r="D9" s="412">
        <f t="shared" si="0"/>
        <v>988620.43</v>
      </c>
      <c r="E9" s="412">
        <f>VLOOKUP($A$4:$A$30,'[3]ANEXO III Anexo IX (100 e 80%)'!$AW$6:$CA$38,17,)</f>
        <v>81064.950000000012</v>
      </c>
      <c r="F9" s="412">
        <f>VLOOKUP($A$4:$A$30,'[3]ANEXO III Anexo IX (100 e 80%)'!$AW$6:$CA$38,18,)</f>
        <v>29076.74</v>
      </c>
      <c r="G9" s="412">
        <f t="shared" si="1"/>
        <v>110141.69000000002</v>
      </c>
      <c r="H9" s="412">
        <f>VLOOKUP($A$4:$A$30,'[3]ANEXO III Anexo IX (100 e 80%)'!$AW$6:$CA$38,25,)</f>
        <v>909916.32000000007</v>
      </c>
      <c r="I9" s="412">
        <f>VLOOKUP($A$4:$A$30,'[3]ANEXO III Anexo IX (100 e 80%)'!$AW$6:$CA$38,31,)</f>
        <v>84491.25</v>
      </c>
      <c r="J9" s="413">
        <f t="shared" si="2"/>
        <v>2093169.69</v>
      </c>
      <c r="K9" s="387">
        <f>J9-VLOOKUP($A$4:$A$30,'[3]ANEXO III Anexo IX (100 e 80%)'!$AW$6:$CM$38,43,)</f>
        <v>0</v>
      </c>
      <c r="L9" s="412">
        <f>VLOOKUP($A$4:$A$30,'[3]Anexo X-Aporte FA com exerc.'!$A$4:$C$33,3,)</f>
        <v>44720.065793297144</v>
      </c>
      <c r="M9" s="412"/>
      <c r="N9" s="412"/>
      <c r="P9" s="412">
        <f>VLOOKUP($A$4:$A$30,'[3]ANEXO XI - CSC Total'!$A$3:$F$37,4,)</f>
        <v>138648.95000000001</v>
      </c>
      <c r="Q9" s="412">
        <f>VLOOKUP($A$4:$A$30,'[3]ANEXO XI - CSC Total'!$A$3:$F$37,6,)-P9</f>
        <v>20375.739999999991</v>
      </c>
      <c r="R9" s="389">
        <f>VLOOKUP($A$4:$A$30,'[3]ANEXO XI - CSC Total'!$A$3:$F$35,3,)+VLOOKUP($A$4:$A$30,'[3]ANEXO XI - CSC Total'!$A$3:$F$35,5,)-Q9</f>
        <v>0</v>
      </c>
      <c r="S9" s="412">
        <f>VLOOKUP($A$4:$A$30,'[3]Anexo XII- SISCAF'!$A$11:$C$31,3,)</f>
        <v>16670.8014</v>
      </c>
      <c r="U9" s="412">
        <f>VLOOKUP($A$4:$A$30,'[3]XIII. TAXAS BANCÁRIAS'!$A$3:$D$33,4,)</f>
        <v>8048.8099184000012</v>
      </c>
      <c r="W9" s="414">
        <f>VLOOKUP($A$4:$A$30,'[3]ANEXO I'!$A$5:$Y$37,3,)</f>
        <v>4388</v>
      </c>
      <c r="X9" s="415">
        <f>VLOOKUP($A$4:$A$30,'[3]ANEXO I'!$A$5:$Y$37,12,)</f>
        <v>32.289950576606259</v>
      </c>
      <c r="Y9" s="414">
        <f>VLOOKUP($A$4:$A$30,'[3]ANEXO I'!$A$5:$Y$37,15,)</f>
        <v>422</v>
      </c>
      <c r="Z9" s="415">
        <f>VLOOKUP($A$4:$A$30,'[3]ANEXO I'!$A$5:$Y$37,21,)</f>
        <v>42.417061611374407</v>
      </c>
      <c r="AA9" s="414">
        <f>VLOOKUP($A$4:$A$30,'[3]ANEXO I'!$A$5:$Y$37,24,)</f>
        <v>11612</v>
      </c>
      <c r="AC9" s="389">
        <f>VLOOKUP($A$4:$A$30,'[3]ANEXO XI.II Enc de Contas'!$A$2:$D$32,4,)</f>
        <v>435.55890520040913</v>
      </c>
      <c r="AE9" s="389">
        <f>VLOOKUP($A$4:$A$30,'[4]Demonstrativos 2020'!$A$6:$Y$32,25,)</f>
        <v>1187299.8600000001</v>
      </c>
      <c r="AG9" s="416" t="s">
        <v>12</v>
      </c>
      <c r="AH9" s="420">
        <f>SUM(AH10:AH11)</f>
        <v>493271.76</v>
      </c>
      <c r="AJ9" s="416" t="s">
        <v>812</v>
      </c>
      <c r="AK9" s="410">
        <f>VLOOKUP($AH$2,$A$4:$AE$30,31,)</f>
        <v>9291279.5399999991</v>
      </c>
    </row>
    <row r="10" spans="1:37" ht="16.5" thickBot="1" x14ac:dyDescent="0.3">
      <c r="A10" s="411" t="s">
        <v>813</v>
      </c>
      <c r="B10" s="412">
        <f>VLOOKUP($A$4:$A$30,'[3]ANEXO III Anexo IX (100 e 80%)'!$AW$6:$CA$38,7,)</f>
        <v>1502059.5</v>
      </c>
      <c r="C10" s="412">
        <f>VLOOKUP($A$4:$A$30,'[3]ANEXO III Anexo IX (100 e 80%)'!$AW$6:$CA$38,8,)</f>
        <v>305742.57</v>
      </c>
      <c r="D10" s="412">
        <f t="shared" si="0"/>
        <v>1807802.07</v>
      </c>
      <c r="E10" s="412">
        <f>VLOOKUP($A$4:$A$30,'[3]ANEXO III Anexo IX (100 e 80%)'!$AW$6:$CA$38,17,)</f>
        <v>124079.33</v>
      </c>
      <c r="F10" s="412">
        <f>VLOOKUP($A$4:$A$30,'[3]ANEXO III Anexo IX (100 e 80%)'!$AW$6:$CA$38,18,)</f>
        <v>53126.96</v>
      </c>
      <c r="G10" s="412">
        <f t="shared" si="1"/>
        <v>177206.29</v>
      </c>
      <c r="H10" s="412">
        <f>VLOOKUP($A$4:$A$30,'[3]ANEXO III Anexo IX (100 e 80%)'!$AW$6:$CA$38,25,)</f>
        <v>1375453.08</v>
      </c>
      <c r="I10" s="412">
        <f>VLOOKUP($A$4:$A$30,'[3]ANEXO III Anexo IX (100 e 80%)'!$AW$6:$CA$38,31,)</f>
        <v>164922.47999999998</v>
      </c>
      <c r="J10" s="413">
        <f t="shared" si="2"/>
        <v>3525383.92</v>
      </c>
      <c r="K10" s="387">
        <f>J10-VLOOKUP($A$4:$A$30,'[3]ANEXO III Anexo IX (100 e 80%)'!$AW$6:$CM$38,43,)</f>
        <v>0</v>
      </c>
      <c r="L10" s="412">
        <f>VLOOKUP($A$4:$A$30,'[3]Anexo X-Aporte FA com exerc.'!$A$4:$C$33,3,)</f>
        <v>75501.39839707686</v>
      </c>
      <c r="M10" s="412"/>
      <c r="N10" s="412"/>
      <c r="P10" s="412">
        <f>VLOOKUP($A$4:$A$30,'[3]ANEXO XI - CSC Total'!$A$3:$F$37,4,)</f>
        <v>234082.61</v>
      </c>
      <c r="Q10" s="412">
        <f>VLOOKUP($A$4:$A$30,'[3]ANEXO XI - CSC Total'!$A$3:$F$37,6,)-P10</f>
        <v>38397.520000000019</v>
      </c>
      <c r="R10" s="389">
        <f>VLOOKUP($A$4:$A$30,'[3]ANEXO XI - CSC Total'!$A$3:$F$35,3,)+VLOOKUP($A$4:$A$30,'[3]ANEXO XI - CSC Total'!$A$3:$F$35,5,)-Q10</f>
        <v>0</v>
      </c>
      <c r="S10" s="412"/>
      <c r="U10" s="412">
        <f>VLOOKUP($A$4:$A$30,'[3]XIII. TAXAS BANCÁRIAS'!$A$3:$D$33,4,)</f>
        <v>13471.573501999999</v>
      </c>
      <c r="W10" s="414">
        <f>VLOOKUP($A$4:$A$30,'[3]ANEXO I'!$A$5:$Y$37,3,)</f>
        <v>6599</v>
      </c>
      <c r="X10" s="415">
        <f>VLOOKUP($A$4:$A$30,'[3]ANEXO I'!$A$5:$Y$37,12,)</f>
        <v>26.466287571080429</v>
      </c>
      <c r="Y10" s="414">
        <f>VLOOKUP($A$4:$A$30,'[3]ANEXO I'!$A$5:$Y$37,15,)</f>
        <v>766</v>
      </c>
      <c r="Z10" s="415">
        <f>VLOOKUP($A$4:$A$30,'[3]ANEXO I'!$A$5:$Y$37,21,)</f>
        <v>56.266318537859007</v>
      </c>
      <c r="AA10" s="414">
        <f>VLOOKUP($A$4:$A$30,'[3]ANEXO I'!$A$5:$Y$37,24,)</f>
        <v>17553</v>
      </c>
      <c r="AC10" s="389">
        <f>VLOOKUP($A$4:$A$30,'[3]ANEXO XI.II Enc de Contas'!$A$2:$D$32,4,)</f>
        <v>1862.9038103582498</v>
      </c>
      <c r="AE10" s="389">
        <f>VLOOKUP($A$4:$A$30,'[4]Demonstrativos 2020'!$A$6:$Y$32,25,)</f>
        <v>1020703.8599999999</v>
      </c>
      <c r="AG10" s="419" t="s">
        <v>252</v>
      </c>
      <c r="AH10" s="410">
        <f>VLOOKUP($AH$2,'Tabela Resumo'!$A$4:$J$30,5,)</f>
        <v>357589.7</v>
      </c>
    </row>
    <row r="11" spans="1:37" ht="16.5" thickBot="1" x14ac:dyDescent="0.3">
      <c r="A11" s="411" t="s">
        <v>814</v>
      </c>
      <c r="B11" s="412">
        <f>VLOOKUP($A$4:$A$30,'[3]ANEXO III Anexo IX (100 e 80%)'!$AW$6:$CA$38,7,)</f>
        <v>1083868.6300000001</v>
      </c>
      <c r="C11" s="412">
        <f>VLOOKUP($A$4:$A$30,'[3]ANEXO III Anexo IX (100 e 80%)'!$AW$6:$CA$38,8,)</f>
        <v>243910.54</v>
      </c>
      <c r="D11" s="412">
        <f t="shared" si="0"/>
        <v>1327779.1700000002</v>
      </c>
      <c r="E11" s="412">
        <f>VLOOKUP($A$4:$A$30,'[3]ANEXO III Anexo IX (100 e 80%)'!$AW$6:$CA$38,17,)</f>
        <v>101755.51</v>
      </c>
      <c r="F11" s="412">
        <f>VLOOKUP($A$4:$A$30,'[3]ANEXO III Anexo IX (100 e 80%)'!$AW$6:$CA$38,18,)</f>
        <v>35634.04</v>
      </c>
      <c r="G11" s="412">
        <f t="shared" si="1"/>
        <v>137389.54999999999</v>
      </c>
      <c r="H11" s="412">
        <f>VLOOKUP($A$4:$A$30,'[3]ANEXO III Anexo IX (100 e 80%)'!$AW$6:$CA$38,25,)</f>
        <v>1164272.8799999999</v>
      </c>
      <c r="I11" s="412">
        <f>VLOOKUP($A$4:$A$30,'[3]ANEXO III Anexo IX (100 e 80%)'!$AW$6:$CA$38,31,)</f>
        <v>97735.84</v>
      </c>
      <c r="J11" s="413">
        <f t="shared" si="2"/>
        <v>2727177.4400000004</v>
      </c>
      <c r="K11" s="387">
        <f>J11-VLOOKUP($A$4:$A$30,'[3]ANEXO III Anexo IX (100 e 80%)'!$AW$6:$CM$38,43,)</f>
        <v>0</v>
      </c>
      <c r="L11" s="412">
        <f>VLOOKUP($A$4:$A$30,'[3]Anexo X-Aporte FA com exerc.'!$A$4:$C$33,3,)</f>
        <v>56189.425164602915</v>
      </c>
      <c r="M11" s="412"/>
      <c r="N11" s="412"/>
      <c r="P11" s="412">
        <f>VLOOKUP($A$4:$A$30,'[3]ANEXO XI - CSC Total'!$A$3:$F$37,4,)</f>
        <v>174208.26</v>
      </c>
      <c r="Q11" s="412">
        <f>VLOOKUP($A$4:$A$30,'[3]ANEXO XI - CSC Total'!$A$3:$F$37,6,)-P11</f>
        <v>25586.26999999999</v>
      </c>
      <c r="R11" s="389">
        <f>VLOOKUP($A$4:$A$30,'[3]ANEXO XI - CSC Total'!$A$3:$F$35,3,)+VLOOKUP($A$4:$A$30,'[3]ANEXO XI - CSC Total'!$A$3:$F$35,5,)-Q11</f>
        <v>0</v>
      </c>
      <c r="S11" s="412"/>
      <c r="U11" s="412">
        <f>VLOOKUP($A$4:$A$30,'[3]XIII. TAXAS BANCÁRIAS'!$A$3:$D$33,4,)</f>
        <v>10857.348166000003</v>
      </c>
      <c r="W11" s="414">
        <f>VLOOKUP($A$4:$A$30,'[3]ANEXO I'!$A$5:$Y$37,3,)</f>
        <v>3816</v>
      </c>
      <c r="X11" s="415">
        <f>VLOOKUP($A$4:$A$30,'[3]ANEXO I'!$A$5:$Y$37,12,)</f>
        <v>9.7092558015470729</v>
      </c>
      <c r="Y11" s="414">
        <f>VLOOKUP($A$4:$A$30,'[3]ANEXO I'!$A$5:$Y$37,15,)</f>
        <v>457</v>
      </c>
      <c r="Z11" s="415">
        <f>VLOOKUP($A$4:$A$30,'[3]ANEXO I'!$A$5:$Y$37,21,)</f>
        <v>26.914660831509849</v>
      </c>
      <c r="AA11" s="414">
        <f>VLOOKUP($A$4:$A$30,'[3]ANEXO I'!$A$5:$Y$37,24,)</f>
        <v>14858</v>
      </c>
      <c r="AC11" s="389">
        <f>VLOOKUP($A$4:$A$30,'[3]ANEXO XI.II Enc de Contas'!$A$2:$D$32,4,)</f>
        <v>1658.1935567021819</v>
      </c>
      <c r="AE11" s="389">
        <f>VLOOKUP($A$4:$A$30,'[4]Demonstrativos 2020'!$A$6:$Y$32,25,)</f>
        <v>2085182.6499999997</v>
      </c>
      <c r="AG11" s="419" t="s">
        <v>94</v>
      </c>
      <c r="AH11" s="410">
        <f>VLOOKUP($AH$2,'Tabela Resumo'!$A$4:$I$30,6,)</f>
        <v>135682.06</v>
      </c>
      <c r="AJ11" s="517" t="s">
        <v>815</v>
      </c>
      <c r="AK11" s="518"/>
    </row>
    <row r="12" spans="1:37" ht="16.5" thickBot="1" x14ac:dyDescent="0.3">
      <c r="A12" s="411" t="s">
        <v>816</v>
      </c>
      <c r="B12" s="412">
        <f>VLOOKUP($A$4:$A$30,'[3]ANEXO III Anexo IX (100 e 80%)'!$AW$6:$CA$38,7,)</f>
        <v>1190349.76</v>
      </c>
      <c r="C12" s="412">
        <f>VLOOKUP($A$4:$A$30,'[3]ANEXO III Anexo IX (100 e 80%)'!$AW$6:$CA$38,8,)</f>
        <v>320000</v>
      </c>
      <c r="D12" s="412">
        <f t="shared" si="0"/>
        <v>1510349.76</v>
      </c>
      <c r="E12" s="412">
        <f>VLOOKUP($A$4:$A$30,'[3]ANEXO III Anexo IX (100 e 80%)'!$AW$6:$CA$38,17,)</f>
        <v>67509.06</v>
      </c>
      <c r="F12" s="412">
        <f>VLOOKUP($A$4:$A$30,'[3]ANEXO III Anexo IX (100 e 80%)'!$AW$6:$CA$38,18,)</f>
        <v>35468.369999999995</v>
      </c>
      <c r="G12" s="412">
        <f t="shared" si="1"/>
        <v>102977.43</v>
      </c>
      <c r="H12" s="412">
        <f>VLOOKUP($A$4:$A$30,'[3]ANEXO III Anexo IX (100 e 80%)'!$AW$6:$CA$38,25,)</f>
        <v>2355501.6</v>
      </c>
      <c r="I12" s="412">
        <f>VLOOKUP($A$4:$A$30,'[3]ANEXO III Anexo IX (100 e 80%)'!$AW$6:$CA$38,31,)</f>
        <v>138930.79</v>
      </c>
      <c r="J12" s="413">
        <f t="shared" si="2"/>
        <v>4107759.58</v>
      </c>
      <c r="K12" s="387">
        <f>J12-VLOOKUP($A$4:$A$30,'[3]ANEXO III Anexo IX (100 e 80%)'!$AW$6:$CM$38,43,)</f>
        <v>0</v>
      </c>
      <c r="L12" s="412">
        <f>VLOOKUP($A$4:$A$30,'[3]Anexo X-Aporte FA com exerc.'!$A$4:$C$33,3,)</f>
        <v>87516.261133574284</v>
      </c>
      <c r="M12" s="412"/>
      <c r="N12" s="412"/>
      <c r="P12" s="412">
        <f>VLOOKUP($A$4:$A$30,'[3]ANEXO XI - CSC Total'!$A$3:$F$37,4,)</f>
        <v>271333.19</v>
      </c>
      <c r="Q12" s="412">
        <f>VLOOKUP($A$4:$A$30,'[3]ANEXO XI - CSC Total'!$A$3:$F$37,6,)-P12</f>
        <v>39477.229999999981</v>
      </c>
      <c r="R12" s="389">
        <f>VLOOKUP($A$4:$A$30,'[3]ANEXO XI - CSC Total'!$A$3:$F$35,3,)+VLOOKUP($A$4:$A$30,'[3]ANEXO XI - CSC Total'!$A$3:$F$35,5,)-Q12</f>
        <v>0</v>
      </c>
      <c r="S12" s="412"/>
      <c r="U12" s="412">
        <f>VLOOKUP($A$4:$A$30,'[3]XIII. TAXAS BANCÁRIAS'!$A$3:$D$33,4,)</f>
        <v>18320.874651200003</v>
      </c>
      <c r="W12" s="414">
        <f>VLOOKUP($A$4:$A$30,'[3]ANEXO I'!$A$5:$Y$37,3,)</f>
        <v>5057</v>
      </c>
      <c r="X12" s="415">
        <f>VLOOKUP($A$4:$A$30,'[3]ANEXO I'!$A$5:$Y$37,12,)</f>
        <v>26.22113222971592</v>
      </c>
      <c r="Y12" s="414">
        <f>VLOOKUP($A$4:$A$30,'[3]ANEXO I'!$A$5:$Y$37,15,)</f>
        <v>697</v>
      </c>
      <c r="Z12" s="415">
        <f>VLOOKUP($A$4:$A$30,'[3]ANEXO I'!$A$5:$Y$37,21,)</f>
        <v>69.58393113342899</v>
      </c>
      <c r="AA12" s="414">
        <f>VLOOKUP($A$4:$A$30,'[3]ANEXO I'!$A$5:$Y$37,24,)</f>
        <v>30060</v>
      </c>
      <c r="AC12" s="389">
        <f>VLOOKUP($A$4:$A$30,'[3]ANEXO XI.II Enc de Contas'!$A$2:$D$32,4,)</f>
        <v>1079.8079583471222</v>
      </c>
      <c r="AE12" s="389">
        <f>VLOOKUP($A$4:$A$30,'[4]Demonstrativos 2020'!$A$6:$Y$32,25,)</f>
        <v>2015911.7999999998</v>
      </c>
      <c r="AG12" s="421" t="s">
        <v>80</v>
      </c>
      <c r="AH12" s="410">
        <f>VLOOKUP($AH$2,'Tabela Resumo'!$A$4:$I$30,8,)</f>
        <v>4407201.4800000004</v>
      </c>
      <c r="AJ12" s="408" t="s">
        <v>817</v>
      </c>
      <c r="AK12" s="422">
        <f>VLOOKUP($AH$2,'Tabela Resumo'!$A$4:$AA$30,23,)</f>
        <v>16767</v>
      </c>
    </row>
    <row r="13" spans="1:37" ht="16.5" thickBot="1" x14ac:dyDescent="0.3">
      <c r="A13" s="411" t="s">
        <v>818</v>
      </c>
      <c r="B13" s="412">
        <f>VLOOKUP($A$4:$A$30,'[3]ANEXO III Anexo IX (100 e 80%)'!$AW$6:$CA$38,7,)</f>
        <v>390022.12</v>
      </c>
      <c r="C13" s="412">
        <f>VLOOKUP($A$4:$A$30,'[3]ANEXO III Anexo IX (100 e 80%)'!$AW$6:$CA$38,8,)</f>
        <v>104363.14000000001</v>
      </c>
      <c r="D13" s="412">
        <f t="shared" si="0"/>
        <v>494385.26</v>
      </c>
      <c r="E13" s="412">
        <f>VLOOKUP($A$4:$A$30,'[3]ANEXO III Anexo IX (100 e 80%)'!$AW$6:$CA$38,17,)</f>
        <v>38619.230000000003</v>
      </c>
      <c r="F13" s="412">
        <f>VLOOKUP($A$4:$A$30,'[3]ANEXO III Anexo IX (100 e 80%)'!$AW$6:$CA$38,18,)</f>
        <v>37561.279999999999</v>
      </c>
      <c r="G13" s="412">
        <f t="shared" si="1"/>
        <v>76180.510000000009</v>
      </c>
      <c r="H13" s="412">
        <f>VLOOKUP($A$4:$A$30,'[3]ANEXO III Anexo IX (100 e 80%)'!$AW$6:$CA$38,25,)</f>
        <v>418285.68</v>
      </c>
      <c r="I13" s="412">
        <f>VLOOKUP($A$4:$A$30,'[3]ANEXO III Anexo IX (100 e 80%)'!$AW$6:$CA$38,31,)</f>
        <v>44225.880000000005</v>
      </c>
      <c r="J13" s="413">
        <f t="shared" si="2"/>
        <v>1033077.3300000001</v>
      </c>
      <c r="K13" s="387">
        <f>J13-VLOOKUP($A$4:$A$30,'[3]ANEXO III Anexo IX (100 e 80%)'!$AW$6:$CM$38,43,)</f>
        <v>0</v>
      </c>
      <c r="L13" s="412">
        <f>VLOOKUP($A$4:$A$30,'[3]Anexo X-Aporte FA com exerc.'!$A$4:$C$33,3,)</f>
        <v>21533.416507070859</v>
      </c>
      <c r="M13" s="412">
        <f>VLOOKUP($A$4:$A$30,'[3]Anexo X-Repasse FA com exerc.'!$A$4:$G$17,7,)</f>
        <v>14440</v>
      </c>
      <c r="N13" s="412">
        <f>VLOOKUP($A$4:$A$30,'[3]Anexo X-Repasse FA com exerc.'!$A$4:$H$17,8,)</f>
        <v>242695.8839999999</v>
      </c>
      <c r="P13" s="412">
        <f>VLOOKUP($A$4:$A$30,'[3]ANEXO XI - CSC Total'!$A$3:$F$37,4,)</f>
        <v>66761.66</v>
      </c>
      <c r="Q13" s="412">
        <f>VLOOKUP($A$4:$A$30,'[3]ANEXO XI - CSC Total'!$A$3:$F$37,6,)-P13</f>
        <v>9515.5500000000029</v>
      </c>
      <c r="R13" s="389">
        <f>VLOOKUP($A$4:$A$30,'[3]ANEXO XI - CSC Total'!$A$3:$F$35,3,)+VLOOKUP($A$4:$A$30,'[3]ANEXO XI - CSC Total'!$A$3:$F$35,5,)-Q13</f>
        <v>0</v>
      </c>
      <c r="S13" s="412"/>
      <c r="U13" s="412">
        <f>VLOOKUP($A$4:$A$30,'[3]XIII. TAXAS BANCÁRIAS'!$A$3:$D$33,4,)</f>
        <v>3663.2805888000003</v>
      </c>
      <c r="W13" s="414">
        <f>VLOOKUP($A$4:$A$30,'[3]ANEXO I'!$A$5:$Y$37,3,)</f>
        <v>2017</v>
      </c>
      <c r="X13" s="415">
        <f>VLOOKUP($A$4:$A$30,'[3]ANEXO I'!$A$5:$Y$37,12,)</f>
        <v>36.491228070175438</v>
      </c>
      <c r="Y13" s="414">
        <f>VLOOKUP($A$4:$A$30,'[3]ANEXO I'!$A$5:$Y$37,15,)</f>
        <v>291</v>
      </c>
      <c r="Z13" s="415">
        <f>VLOOKUP($A$4:$A$30,'[3]ANEXO I'!$A$5:$Y$37,21,)</f>
        <v>63.573883161512029</v>
      </c>
      <c r="AA13" s="414">
        <f>VLOOKUP($A$4:$A$30,'[3]ANEXO I'!$A$5:$Y$37,24,)</f>
        <v>5338</v>
      </c>
      <c r="AC13" s="389">
        <f>VLOOKUP($A$4:$A$30,'[3]ANEXO XI.II Enc de Contas'!$A$2:$D$32,4,)</f>
        <v>313.37813273505526</v>
      </c>
      <c r="AE13" s="389">
        <f>VLOOKUP($A$4:$A$30,'[4]Demonstrativos 2020'!$A$6:$Y$32,25,)</f>
        <v>67318.429999999993</v>
      </c>
      <c r="AG13" s="421" t="s">
        <v>63</v>
      </c>
      <c r="AH13" s="410">
        <f>VLOOKUP($AH$2,'Tabela Resumo'!$A$4:$I$30,9,)</f>
        <v>467067.51</v>
      </c>
      <c r="AJ13" s="416" t="s">
        <v>819</v>
      </c>
      <c r="AK13" s="423">
        <f>VLOOKUP($AH$2,'Tabela Resumo'!$A$4:$AA$30,24,)</f>
        <v>26.188856595139441</v>
      </c>
    </row>
    <row r="14" spans="1:37" ht="16.5" thickBot="1" x14ac:dyDescent="0.3">
      <c r="A14" s="411" t="s">
        <v>787</v>
      </c>
      <c r="B14" s="412">
        <f>VLOOKUP($A$4:$A$30,'[3]ANEXO III Anexo IX (100 e 80%)'!$AW$6:$CA$38,7,)</f>
        <v>3864411.6599999997</v>
      </c>
      <c r="C14" s="412">
        <f>VLOOKUP($A$4:$A$30,'[3]ANEXO III Anexo IX (100 e 80%)'!$AW$6:$CA$38,8,)</f>
        <v>989040.98</v>
      </c>
      <c r="D14" s="412">
        <f t="shared" si="0"/>
        <v>4853452.6399999997</v>
      </c>
      <c r="E14" s="412">
        <f>VLOOKUP($A$4:$A$30,'[3]ANEXO III Anexo IX (100 e 80%)'!$AW$6:$CA$38,17,)</f>
        <v>357589.7</v>
      </c>
      <c r="F14" s="412">
        <f>VLOOKUP($A$4:$A$30,'[3]ANEXO III Anexo IX (100 e 80%)'!$AW$6:$CA$38,18,)</f>
        <v>135682.06</v>
      </c>
      <c r="G14" s="412">
        <f t="shared" si="1"/>
        <v>493271.76</v>
      </c>
      <c r="H14" s="412">
        <f>VLOOKUP($A$4:$A$30,'[3]ANEXO III Anexo IX (100 e 80%)'!$AW$6:$CA$38,25,)</f>
        <v>4407201.4800000004</v>
      </c>
      <c r="I14" s="412">
        <f>VLOOKUP($A$4:$A$30,'[3]ANEXO III Anexo IX (100 e 80%)'!$AW$6:$CA$38,31,)</f>
        <v>467067.51</v>
      </c>
      <c r="J14" s="413">
        <f t="shared" si="2"/>
        <v>10220993.390000001</v>
      </c>
      <c r="K14" s="387">
        <f>J14-VLOOKUP($A$4:$A$30,'[3]ANEXO III Anexo IX (100 e 80%)'!$AW$6:$CM$38,43,)</f>
        <v>0</v>
      </c>
      <c r="L14" s="412">
        <f>VLOOKUP($A$4:$A$30,'[3]Anexo X-Aporte FA com exerc.'!$A$4:$C$33,3,)</f>
        <v>217058.37884926912</v>
      </c>
      <c r="M14" s="412"/>
      <c r="N14" s="412"/>
      <c r="P14" s="412">
        <f>VLOOKUP($A$4:$A$30,'[3]ANEXO XI - CSC Total'!$A$3:$F$37,4,)</f>
        <v>672962.27</v>
      </c>
      <c r="Q14" s="412">
        <f>VLOOKUP($A$4:$A$30,'[3]ANEXO XI - CSC Total'!$A$3:$F$37,6,)-P14</f>
        <v>101585.59000000008</v>
      </c>
      <c r="R14" s="389">
        <f>VLOOKUP($A$4:$A$30,'[3]ANEXO XI - CSC Total'!$A$3:$F$35,3,)+VLOOKUP($A$4:$A$30,'[3]ANEXO XI - CSC Total'!$A$3:$F$35,5,)-Q14</f>
        <v>0</v>
      </c>
      <c r="S14" s="412"/>
      <c r="U14" s="412">
        <f>VLOOKUP($A$4:$A$30,'[3]XIII. TAXAS BANCÁRIAS'!$A$3:$D$33,4,)</f>
        <v>43209.521632800002</v>
      </c>
      <c r="W14" s="414">
        <f>VLOOKUP($A$4:$A$30,'[3]ANEXO I'!$A$5:$Y$37,3,)</f>
        <v>16767</v>
      </c>
      <c r="X14" s="415">
        <f>VLOOKUP($A$4:$A$30,'[3]ANEXO I'!$A$5:$Y$37,12,)</f>
        <v>26.188856595139441</v>
      </c>
      <c r="Y14" s="414">
        <f>VLOOKUP($A$4:$A$30,'[3]ANEXO I'!$A$5:$Y$37,15,)</f>
        <v>1781</v>
      </c>
      <c r="Z14" s="415">
        <f>VLOOKUP($A$4:$A$30,'[3]ANEXO I'!$A$5:$Y$37,21,)</f>
        <v>39.752947782144865</v>
      </c>
      <c r="AA14" s="414">
        <f>VLOOKUP($A$4:$A$30,'[3]ANEXO I'!$A$5:$Y$37,24,)</f>
        <v>56243</v>
      </c>
      <c r="AC14" s="389">
        <f>VLOOKUP($A$4:$A$30,'[3]ANEXO XI.II Enc de Contas'!$A$2:$D$32,4,)</f>
        <v>10976.459146965262</v>
      </c>
      <c r="AE14" s="389">
        <f>VLOOKUP($A$4:$A$30,'[4]Demonstrativos 2020'!$A$6:$Y$32,25,)</f>
        <v>9291279.5399999991</v>
      </c>
      <c r="AG14" s="421" t="s">
        <v>13</v>
      </c>
      <c r="AH14" s="424"/>
      <c r="AJ14" s="416" t="s">
        <v>820</v>
      </c>
      <c r="AK14" s="422">
        <f>VLOOKUP($AH$2,'Tabela Resumo'!$A$4:$AA$30,25,)</f>
        <v>1781</v>
      </c>
    </row>
    <row r="15" spans="1:37" ht="16.5" thickBot="1" x14ac:dyDescent="0.3">
      <c r="A15" s="411" t="s">
        <v>821</v>
      </c>
      <c r="B15" s="412">
        <f>VLOOKUP($A$4:$A$30,'[3]ANEXO III Anexo IX (100 e 80%)'!$AW$6:$CA$38,7,)</f>
        <v>719217.36</v>
      </c>
      <c r="C15" s="412">
        <f>VLOOKUP($A$4:$A$30,'[3]ANEXO III Anexo IX (100 e 80%)'!$AW$6:$CA$38,8,)</f>
        <v>228507.67</v>
      </c>
      <c r="D15" s="412">
        <f t="shared" si="0"/>
        <v>947725.03</v>
      </c>
      <c r="E15" s="412">
        <f>VLOOKUP($A$4:$A$30,'[3]ANEXO III Anexo IX (100 e 80%)'!$AW$6:$CA$38,17,)</f>
        <v>101863.53</v>
      </c>
      <c r="F15" s="412">
        <f>VLOOKUP($A$4:$A$30,'[3]ANEXO III Anexo IX (100 e 80%)'!$AW$6:$CA$38,18,)</f>
        <v>53173.900000000009</v>
      </c>
      <c r="G15" s="412">
        <f t="shared" si="1"/>
        <v>155037.43</v>
      </c>
      <c r="H15" s="412">
        <f>VLOOKUP($A$4:$A$30,'[3]ANEXO III Anexo IX (100 e 80%)'!$AW$6:$CA$38,25,)</f>
        <v>1716084</v>
      </c>
      <c r="I15" s="412">
        <f>VLOOKUP($A$4:$A$30,'[3]ANEXO III Anexo IX (100 e 80%)'!$AW$6:$CA$38,31,)</f>
        <v>118731.93</v>
      </c>
      <c r="J15" s="413">
        <f t="shared" si="2"/>
        <v>2937578.3899999997</v>
      </c>
      <c r="K15" s="387">
        <f>J15-VLOOKUP($A$4:$A$30,'[3]ANEXO III Anexo IX (100 e 80%)'!$AW$6:$CM$38,43,)</f>
        <v>0</v>
      </c>
      <c r="L15" s="412">
        <f>VLOOKUP($A$4:$A$30,'[3]Anexo X-Aporte FA com exerc.'!$A$4:$C$33,3,)</f>
        <v>61940.936820697869</v>
      </c>
      <c r="M15" s="412"/>
      <c r="N15" s="412"/>
      <c r="P15" s="412">
        <f>VLOOKUP($A$4:$A$30,'[3]ANEXO XI - CSC Total'!$A$3:$F$37,4,)</f>
        <v>192040.1</v>
      </c>
      <c r="Q15" s="412">
        <f>VLOOKUP($A$4:$A$30,'[3]ANEXO XI - CSC Total'!$A$3:$F$37,6,)-P15</f>
        <v>27607.399999999994</v>
      </c>
      <c r="R15" s="389">
        <f>VLOOKUP($A$4:$A$30,'[3]ANEXO XI - CSC Total'!$A$3:$F$35,3,)+VLOOKUP($A$4:$A$30,'[3]ANEXO XI - CSC Total'!$A$3:$F$35,5,)-Q15</f>
        <v>0</v>
      </c>
      <c r="S15" s="412"/>
      <c r="U15" s="412">
        <f>VLOOKUP($A$4:$A$30,'[3]XIII. TAXAS BANCÁRIAS'!$A$3:$D$33,4,)</f>
        <v>12840.445999600002</v>
      </c>
      <c r="W15" s="414">
        <f>VLOOKUP($A$4:$A$30,'[3]ANEXO I'!$A$5:$Y$37,3,)</f>
        <v>3591</v>
      </c>
      <c r="X15" s="415">
        <f>VLOOKUP($A$4:$A$30,'[3]ANEXO I'!$A$5:$Y$37,12,)</f>
        <v>37.468211359141002</v>
      </c>
      <c r="Y15" s="414">
        <f>VLOOKUP($A$4:$A$30,'[3]ANEXO I'!$A$5:$Y$37,15,)</f>
        <v>663</v>
      </c>
      <c r="Z15" s="415">
        <f>VLOOKUP($A$4:$A$30,'[3]ANEXO I'!$A$5:$Y$37,21,)</f>
        <v>52.941176470588239</v>
      </c>
      <c r="AA15" s="414">
        <f>VLOOKUP($A$4:$A$30,'[3]ANEXO I'!$A$5:$Y$37,24,)</f>
        <v>21900</v>
      </c>
      <c r="AC15" s="389">
        <f>VLOOKUP($A$4:$A$30,'[3]ANEXO XI.II Enc de Contas'!$A$2:$D$32,4,)</f>
        <v>631.08981395561739</v>
      </c>
      <c r="AE15" s="389">
        <f>VLOOKUP($A$4:$A$30,'[4]Demonstrativos 2020'!$A$6:$Y$32,25,)</f>
        <v>715780.57</v>
      </c>
      <c r="AG15" s="421" t="s">
        <v>176</v>
      </c>
      <c r="AH15" s="425">
        <f>VLOOKUP($AH$2,'Tabela Resumo'!$A$4:$U$30,21,)</f>
        <v>43209.521632800002</v>
      </c>
      <c r="AJ15" s="416" t="s">
        <v>822</v>
      </c>
      <c r="AK15" s="423">
        <f>VLOOKUP($AH$2,'Tabela Resumo'!$A$4:$AA$30,26,)</f>
        <v>39.752947782144865</v>
      </c>
    </row>
    <row r="16" spans="1:37" ht="16.5" thickBot="1" x14ac:dyDescent="0.3">
      <c r="A16" s="411" t="s">
        <v>823</v>
      </c>
      <c r="B16" s="412">
        <f>VLOOKUP($A$4:$A$30,'[3]ANEXO III Anexo IX (100 e 80%)'!$AW$6:$CA$38,7,)</f>
        <v>841814.47</v>
      </c>
      <c r="C16" s="412">
        <f>VLOOKUP($A$4:$A$30,'[3]ANEXO III Anexo IX (100 e 80%)'!$AW$6:$CA$38,8,)</f>
        <v>174745.13</v>
      </c>
      <c r="D16" s="412">
        <f t="shared" si="0"/>
        <v>1016559.6</v>
      </c>
      <c r="E16" s="412">
        <f>VLOOKUP($A$4:$A$30,'[3]ANEXO III Anexo IX (100 e 80%)'!$AW$6:$CA$38,17,)</f>
        <v>87310.15</v>
      </c>
      <c r="F16" s="412">
        <f>VLOOKUP($A$4:$A$30,'[3]ANEXO III Anexo IX (100 e 80%)'!$AW$6:$CA$38,18,)</f>
        <v>47635.45</v>
      </c>
      <c r="G16" s="412">
        <f t="shared" si="1"/>
        <v>134945.59999999998</v>
      </c>
      <c r="H16" s="412">
        <f>VLOOKUP($A$4:$A$30,'[3]ANEXO III Anexo IX (100 e 80%)'!$AW$6:$CA$38,25,)</f>
        <v>2611503.7200000002</v>
      </c>
      <c r="I16" s="412">
        <f>VLOOKUP($A$4:$A$30,'[3]ANEXO III Anexo IX (100 e 80%)'!$AW$6:$CA$38,31,)</f>
        <v>116110.45999999999</v>
      </c>
      <c r="J16" s="413">
        <f t="shared" si="2"/>
        <v>3879119.3800000004</v>
      </c>
      <c r="K16" s="387">
        <f>J16-VLOOKUP($A$4:$A$30,'[3]ANEXO III Anexo IX (100 e 80%)'!$AW$6:$CM$38,43,)</f>
        <v>0</v>
      </c>
      <c r="L16" s="412">
        <f>VLOOKUP($A$4:$A$30,'[3]Anexo X-Aporte FA com exerc.'!$A$4:$C$33,3,)</f>
        <v>84670.293028559856</v>
      </c>
      <c r="M16" s="412"/>
      <c r="N16" s="412"/>
      <c r="P16" s="412">
        <f>VLOOKUP($A$4:$A$30,'[3]ANEXO XI - CSC Total'!$A$3:$F$37,4,)</f>
        <v>262509.62</v>
      </c>
      <c r="Q16" s="412">
        <f>VLOOKUP($A$4:$A$30,'[3]ANEXO XI - CSC Total'!$A$3:$F$37,6,)-P16</f>
        <v>38361.419999999984</v>
      </c>
      <c r="R16" s="389">
        <f>VLOOKUP($A$4:$A$30,'[3]ANEXO XI - CSC Total'!$A$3:$F$35,3,)+VLOOKUP($A$4:$A$30,'[3]ANEXO XI - CSC Total'!$A$3:$F$35,5,)-Q16</f>
        <v>0</v>
      </c>
      <c r="S16" s="412"/>
      <c r="U16" s="412">
        <f>VLOOKUP($A$4:$A$30,'[3]XIII. TAXAS BANCÁRIAS'!$A$3:$D$33,4,)</f>
        <v>16777.713893600001</v>
      </c>
      <c r="W16" s="414">
        <f>VLOOKUP($A$4:$A$30,'[3]ANEXO I'!$A$5:$Y$37,3,)</f>
        <v>3382</v>
      </c>
      <c r="X16" s="415">
        <f>VLOOKUP($A$4:$A$30,'[3]ANEXO I'!$A$5:$Y$37,12,)</f>
        <v>22.53731343283583</v>
      </c>
      <c r="Y16" s="414">
        <f>VLOOKUP($A$4:$A$30,'[3]ANEXO I'!$A$5:$Y$37,15,)</f>
        <v>615</v>
      </c>
      <c r="Z16" s="415">
        <f>VLOOKUP($A$4:$A$30,'[3]ANEXO I'!$A$5:$Y$37,21,)</f>
        <v>55.447154471544714</v>
      </c>
      <c r="AA16" s="414">
        <f>VLOOKUP($A$4:$A$30,'[3]ANEXO I'!$A$5:$Y$37,24,)</f>
        <v>33327</v>
      </c>
      <c r="AC16" s="389">
        <f>VLOOKUP($A$4:$A$30,'[3]ANEXO XI.II Enc de Contas'!$A$2:$D$32,4,)</f>
        <v>1463.9488234363773</v>
      </c>
      <c r="AE16" s="389">
        <f>VLOOKUP($A$4:$A$30,'[4]Demonstrativos 2020'!$A$6:$Y$32,25,)</f>
        <v>1836973.55</v>
      </c>
      <c r="AG16" s="421" t="s">
        <v>14</v>
      </c>
      <c r="AH16" s="425">
        <f>VLOOKUP($AH$2,'Tabela Resumo'!$A$4:$N$30,14,)</f>
        <v>0</v>
      </c>
      <c r="AJ16" s="416" t="s">
        <v>824</v>
      </c>
      <c r="AK16" s="422">
        <f>VLOOKUP($AH$2,'Tabela Resumo'!$A$4:$AA$30,27,)</f>
        <v>56243</v>
      </c>
    </row>
    <row r="17" spans="1:36" ht="16.5" thickBot="1" x14ac:dyDescent="0.3">
      <c r="A17" s="411" t="s">
        <v>825</v>
      </c>
      <c r="B17" s="412">
        <f>VLOOKUP($A$4:$A$30,'[3]ANEXO III Anexo IX (100 e 80%)'!$AW$6:$CA$38,7,)</f>
        <v>496336.06</v>
      </c>
      <c r="C17" s="412">
        <f>VLOOKUP($A$4:$A$30,'[3]ANEXO III Anexo IX (100 e 80%)'!$AW$6:$CA$38,8,)</f>
        <v>288818.38</v>
      </c>
      <c r="D17" s="412">
        <f t="shared" si="0"/>
        <v>785154.44</v>
      </c>
      <c r="E17" s="412">
        <f>VLOOKUP($A$4:$A$30,'[3]ANEXO III Anexo IX (100 e 80%)'!$AW$6:$CA$38,17,)</f>
        <v>43801.729999999996</v>
      </c>
      <c r="F17" s="412">
        <f>VLOOKUP($A$4:$A$30,'[3]ANEXO III Anexo IX (100 e 80%)'!$AW$6:$CA$38,18,)</f>
        <v>30925.559999999998</v>
      </c>
      <c r="G17" s="412">
        <f t="shared" si="1"/>
        <v>74727.289999999994</v>
      </c>
      <c r="H17" s="412">
        <f>VLOOKUP($A$4:$A$30,'[3]ANEXO III Anexo IX (100 e 80%)'!$AW$6:$CA$38,25,)</f>
        <v>630798</v>
      </c>
      <c r="I17" s="412">
        <f>VLOOKUP($A$4:$A$30,'[3]ANEXO III Anexo IX (100 e 80%)'!$AW$6:$CA$38,31,)</f>
        <v>67638.44</v>
      </c>
      <c r="J17" s="413">
        <f t="shared" si="2"/>
        <v>1558318.17</v>
      </c>
      <c r="K17" s="387">
        <f>J17-VLOOKUP($A$4:$A$30,'[3]ANEXO III Anexo IX (100 e 80%)'!$AW$6:$CM$38,43,)</f>
        <v>0</v>
      </c>
      <c r="L17" s="412">
        <f>VLOOKUP($A$4:$A$30,'[3]Anexo X-Aporte FA com exerc.'!$A$4:$C$33,3,)</f>
        <v>30598.708123922301</v>
      </c>
      <c r="M17" s="412"/>
      <c r="N17" s="412"/>
      <c r="P17" s="412">
        <f>VLOOKUP($A$4:$A$30,'[3]ANEXO XI - CSC Total'!$A$3:$F$37,4,)</f>
        <v>94867.46</v>
      </c>
      <c r="Q17" s="412">
        <f>VLOOKUP($A$4:$A$30,'[3]ANEXO XI - CSC Total'!$A$3:$F$37,6,)-P17</f>
        <v>13559.069999999992</v>
      </c>
      <c r="R17" s="389">
        <f>VLOOKUP($A$4:$A$30,'[3]ANEXO XI - CSC Total'!$A$3:$F$35,3,)+VLOOKUP($A$4:$A$30,'[3]ANEXO XI - CSC Total'!$A$3:$F$35,5,)-Q17</f>
        <v>0</v>
      </c>
      <c r="S17" s="412"/>
      <c r="U17" s="412">
        <f>VLOOKUP($A$4:$A$30,'[3]XIII. TAXAS BANCÁRIAS'!$A$3:$D$33,4,)</f>
        <v>7124.4477220000008</v>
      </c>
      <c r="W17" s="414">
        <f>VLOOKUP($A$4:$A$30,'[3]ANEXO I'!$A$5:$Y$37,3,)</f>
        <v>3022</v>
      </c>
      <c r="X17" s="415">
        <f>VLOOKUP($A$4:$A$30,'[3]ANEXO I'!$A$5:$Y$37,12,)</f>
        <v>45.204537641801302</v>
      </c>
      <c r="Y17" s="414">
        <f>VLOOKUP($A$4:$A$30,'[3]ANEXO I'!$A$5:$Y$37,15,)</f>
        <v>405</v>
      </c>
      <c r="Z17" s="415">
        <f>VLOOKUP($A$4:$A$30,'[3]ANEXO I'!$A$5:$Y$37,21,)</f>
        <v>68.641975308641975</v>
      </c>
      <c r="AA17" s="414">
        <f>VLOOKUP($A$4:$A$30,'[3]ANEXO I'!$A$5:$Y$37,24,)</f>
        <v>8050</v>
      </c>
      <c r="AC17" s="389">
        <f>VLOOKUP($A$4:$A$30,'[3]ANEXO XI.II Enc de Contas'!$A$2:$D$32,4,)</f>
        <v>772.36421184881999</v>
      </c>
      <c r="AE17" s="389">
        <f>VLOOKUP($A$4:$A$30,'[4]Demonstrativos 2020'!$A$6:$Y$32,25,)</f>
        <v>1313598.9600000002</v>
      </c>
      <c r="AG17" s="426"/>
      <c r="AH17" s="427"/>
    </row>
    <row r="18" spans="1:36" ht="16.5" thickBot="1" x14ac:dyDescent="0.3">
      <c r="A18" s="411" t="s">
        <v>826</v>
      </c>
      <c r="B18" s="412">
        <f>VLOOKUP($A$4:$A$30,'[3]ANEXO III Anexo IX (100 e 80%)'!$AW$6:$CA$38,7,)</f>
        <v>603577.42999999993</v>
      </c>
      <c r="C18" s="412">
        <f>VLOOKUP($A$4:$A$30,'[3]ANEXO III Anexo IX (100 e 80%)'!$AW$6:$CA$38,8,)</f>
        <v>168712.41</v>
      </c>
      <c r="D18" s="412">
        <f t="shared" si="0"/>
        <v>772289.84</v>
      </c>
      <c r="E18" s="412">
        <f>VLOOKUP($A$4:$A$30,'[3]ANEXO III Anexo IX (100 e 80%)'!$AW$6:$CA$38,17,)</f>
        <v>58794.570000000007</v>
      </c>
      <c r="F18" s="412">
        <f>VLOOKUP($A$4:$A$30,'[3]ANEXO III Anexo IX (100 e 80%)'!$AW$6:$CA$38,18,)</f>
        <v>34004.050000000003</v>
      </c>
      <c r="G18" s="412">
        <f t="shared" si="1"/>
        <v>92798.62000000001</v>
      </c>
      <c r="H18" s="412">
        <f>VLOOKUP($A$4:$A$30,'[3]ANEXO III Anexo IX (100 e 80%)'!$AW$6:$CA$38,25,)</f>
        <v>740737.08</v>
      </c>
      <c r="I18" s="412">
        <f>VLOOKUP($A$4:$A$30,'[3]ANEXO III Anexo IX (100 e 80%)'!$AW$6:$CA$38,31,)</f>
        <v>70990.320000000007</v>
      </c>
      <c r="J18" s="413">
        <f t="shared" si="2"/>
        <v>1676815.8599999999</v>
      </c>
      <c r="K18" s="387">
        <f>J18-VLOOKUP($A$4:$A$30,'[3]ANEXO III Anexo IX (100 e 80%)'!$AW$6:$CM$38,43,)</f>
        <v>0</v>
      </c>
      <c r="L18" s="412">
        <f>VLOOKUP($A$4:$A$30,'[3]Anexo X-Aporte FA com exerc.'!$A$4:$C$33,3,)</f>
        <v>35346.998590361174</v>
      </c>
      <c r="M18" s="412"/>
      <c r="N18" s="412"/>
      <c r="P18" s="412">
        <f>VLOOKUP($A$4:$A$30,'[3]ANEXO XI - CSC Total'!$A$3:$F$37,4,)</f>
        <v>109588.93</v>
      </c>
      <c r="Q18" s="412">
        <f>VLOOKUP($A$4:$A$30,'[3]ANEXO XI - CSC Total'!$A$3:$F$37,6,)-P18</f>
        <v>15959.220000000001</v>
      </c>
      <c r="R18" s="389">
        <f>VLOOKUP($A$4:$A$30,'[3]ANEXO XI - CSC Total'!$A$3:$F$35,3,)+VLOOKUP($A$4:$A$30,'[3]ANEXO XI - CSC Total'!$A$3:$F$35,5,)-Q18</f>
        <v>0</v>
      </c>
      <c r="S18" s="412">
        <f>VLOOKUP($A$4:$A$30,'[3]Anexo XII- SISCAF'!$A$11:$C$31,3,)</f>
        <v>14605.714199999999</v>
      </c>
      <c r="U18" s="412">
        <f>VLOOKUP($A$4:$A$30,'[3]XIII. TAXAS BANCÁRIAS'!$A$3:$D$33,4,)</f>
        <v>7780.3034023999999</v>
      </c>
      <c r="W18" s="414">
        <f>VLOOKUP($A$4:$A$30,'[3]ANEXO I'!$A$5:$Y$37,3,)</f>
        <v>2962</v>
      </c>
      <c r="X18" s="415">
        <f>VLOOKUP($A$4:$A$30,'[3]ANEXO I'!$A$5:$Y$37,12,)</f>
        <v>31.882070620500514</v>
      </c>
      <c r="Y18" s="414">
        <f>VLOOKUP($A$4:$A$30,'[3]ANEXO I'!$A$5:$Y$37,15,)</f>
        <v>503</v>
      </c>
      <c r="Z18" s="415">
        <f>VLOOKUP($A$4:$A$30,'[3]ANEXO I'!$A$5:$Y$37,21,)</f>
        <v>67.395626242544722</v>
      </c>
      <c r="AA18" s="414">
        <f>VLOOKUP($A$4:$A$30,'[3]ANEXO I'!$A$5:$Y$37,24,)</f>
        <v>9453</v>
      </c>
      <c r="AC18" s="389">
        <f>VLOOKUP($A$4:$A$30,'[3]ANEXO XI.II Enc de Contas'!$A$2:$D$32,4,)</f>
        <v>274.75648056469521</v>
      </c>
      <c r="AE18" s="389">
        <f>VLOOKUP($A$4:$A$30,'[4]Demonstrativos 2020'!$A$6:$Y$32,25,)</f>
        <v>1288484.52</v>
      </c>
    </row>
    <row r="19" spans="1:36" ht="16.5" thickBot="1" x14ac:dyDescent="0.3">
      <c r="A19" s="411" t="s">
        <v>307</v>
      </c>
      <c r="B19" s="412">
        <f>VLOOKUP($A$4:$A$30,'[3]ANEXO III Anexo IX (100 e 80%)'!$AW$6:$CA$38,7,)</f>
        <v>1219395.81</v>
      </c>
      <c r="C19" s="412">
        <f>VLOOKUP($A$4:$A$30,'[3]ANEXO III Anexo IX (100 e 80%)'!$AW$6:$CA$38,8,)</f>
        <v>413684.7</v>
      </c>
      <c r="D19" s="412">
        <f t="shared" si="0"/>
        <v>1633080.51</v>
      </c>
      <c r="E19" s="412">
        <f>VLOOKUP($A$4:$A$30,'[3]ANEXO III Anexo IX (100 e 80%)'!$AW$6:$CA$38,17,)</f>
        <v>93121.03</v>
      </c>
      <c r="F19" s="412">
        <f>VLOOKUP($A$4:$A$30,'[3]ANEXO III Anexo IX (100 e 80%)'!$AW$6:$CA$38,18,)</f>
        <v>35145.5</v>
      </c>
      <c r="G19" s="412">
        <f t="shared" si="1"/>
        <v>128266.53</v>
      </c>
      <c r="H19" s="412">
        <f>VLOOKUP($A$4:$A$30,'[3]ANEXO III Anexo IX (100 e 80%)'!$AW$6:$CA$38,25,)</f>
        <v>1399666.32</v>
      </c>
      <c r="I19" s="412">
        <f>VLOOKUP($A$4:$A$30,'[3]ANEXO III Anexo IX (100 e 80%)'!$AW$6:$CA$38,31,)</f>
        <v>140018.53</v>
      </c>
      <c r="J19" s="413">
        <f t="shared" si="2"/>
        <v>3301031.89</v>
      </c>
      <c r="K19" s="387">
        <f>J19-VLOOKUP($A$4:$A$30,'[3]ANEXO III Anexo IX (100 e 80%)'!$AW$6:$CM$38,43,)</f>
        <v>0</v>
      </c>
      <c r="L19" s="412">
        <f>VLOOKUP($A$4:$A$30,'[3]Anexo X-Aporte FA com exerc.'!$A$4:$C$33,3,)</f>
        <v>67841.992419372007</v>
      </c>
      <c r="M19" s="412"/>
      <c r="N19" s="412"/>
      <c r="P19" s="412">
        <f>VLOOKUP($A$4:$A$30,'[3]ANEXO XI - CSC Total'!$A$3:$F$37,4,)</f>
        <v>210335.59</v>
      </c>
      <c r="Q19" s="412">
        <f>VLOOKUP($A$4:$A$30,'[3]ANEXO XI - CSC Total'!$A$3:$F$37,6,)-P19</f>
        <v>31113.429999999993</v>
      </c>
      <c r="R19" s="389">
        <f>VLOOKUP($A$4:$A$30,'[3]ANEXO XI - CSC Total'!$A$3:$F$35,3,)+VLOOKUP($A$4:$A$30,'[3]ANEXO XI - CSC Total'!$A$3:$F$35,5,)-Q19</f>
        <v>0</v>
      </c>
      <c r="S19" s="412"/>
      <c r="U19" s="412">
        <f>VLOOKUP($A$4:$A$30,'[3]XIII. TAXAS BANCÁRIAS'!$A$3:$D$33,4,)</f>
        <v>12400.604162800002</v>
      </c>
      <c r="W19" s="414">
        <f>VLOOKUP($A$4:$A$30,'[3]ANEXO I'!$A$5:$Y$37,3,)</f>
        <v>5230</v>
      </c>
      <c r="X19" s="415">
        <f>VLOOKUP($A$4:$A$30,'[3]ANEXO I'!$A$5:$Y$37,12,)</f>
        <v>23.286556843603819</v>
      </c>
      <c r="Y19" s="414">
        <f>VLOOKUP($A$4:$A$30,'[3]ANEXO I'!$A$5:$Y$37,15,)</f>
        <v>575</v>
      </c>
      <c r="Z19" s="415">
        <f>VLOOKUP($A$4:$A$30,'[3]ANEXO I'!$A$5:$Y$37,21,)</f>
        <v>38.260869565217391</v>
      </c>
      <c r="AA19" s="414">
        <f>VLOOKUP($A$4:$A$30,'[3]ANEXO I'!$A$5:$Y$37,24,)</f>
        <v>17862</v>
      </c>
      <c r="AC19" s="389">
        <f>VLOOKUP($A$4:$A$30,'[3]ANEXO XI.II Enc de Contas'!$A$2:$D$32,4,)</f>
        <v>945.05356352987326</v>
      </c>
      <c r="AE19" s="389">
        <f>VLOOKUP($A$4:$A$30,'[4]Demonstrativos 2020'!$A$6:$Y$32,25,)</f>
        <v>781387.39999999991</v>
      </c>
    </row>
    <row r="20" spans="1:36" ht="16.5" thickBot="1" x14ac:dyDescent="0.3">
      <c r="A20" s="411" t="s">
        <v>827</v>
      </c>
      <c r="B20" s="412">
        <f>VLOOKUP($A$4:$A$30,'[3]ANEXO III Anexo IX (100 e 80%)'!$AW$6:$CA$38,7,)</f>
        <v>324066.94</v>
      </c>
      <c r="C20" s="412">
        <f>VLOOKUP($A$4:$A$30,'[3]ANEXO III Anexo IX (100 e 80%)'!$AW$6:$CA$38,8,)</f>
        <v>155816.94</v>
      </c>
      <c r="D20" s="412">
        <f t="shared" si="0"/>
        <v>479883.88</v>
      </c>
      <c r="E20" s="412">
        <f>VLOOKUP($A$4:$A$30,'[3]ANEXO III Anexo IX (100 e 80%)'!$AW$6:$CA$38,17,)</f>
        <v>49333.77</v>
      </c>
      <c r="F20" s="412">
        <f>VLOOKUP($A$4:$A$30,'[3]ANEXO III Anexo IX (100 e 80%)'!$AW$6:$CA$38,18,)</f>
        <v>37917.279999999999</v>
      </c>
      <c r="G20" s="412">
        <f t="shared" si="1"/>
        <v>87251.049999999988</v>
      </c>
      <c r="H20" s="412">
        <f>VLOOKUP($A$4:$A$30,'[3]ANEXO III Anexo IX (100 e 80%)'!$AW$6:$CA$38,25,)</f>
        <v>358732.07999999996</v>
      </c>
      <c r="I20" s="412">
        <f>VLOOKUP($A$4:$A$30,'[3]ANEXO III Anexo IX (100 e 80%)'!$AW$6:$CA$38,31,)</f>
        <v>45031.79</v>
      </c>
      <c r="J20" s="413">
        <f t="shared" si="2"/>
        <v>970898.79999999993</v>
      </c>
      <c r="K20" s="387">
        <f>J20-VLOOKUP($A$4:$A$30,'[3]ANEXO III Anexo IX (100 e 80%)'!$AW$6:$CM$38,43,)</f>
        <v>0</v>
      </c>
      <c r="L20" s="412">
        <f>VLOOKUP($A$4:$A$30,'[3]Anexo X-Aporte FA com exerc.'!$A$4:$C$33,3,)</f>
        <v>18670.792313703852</v>
      </c>
      <c r="M20" s="412">
        <f>VLOOKUP($A$4:$A$30,'[3]Anexo X-Repasse FA com exerc.'!$A$4:$G$17,7,)</f>
        <v>13240</v>
      </c>
      <c r="N20" s="412">
        <f>VLOOKUP($A$4:$A$30,'[3]Anexo X-Repasse FA com exerc.'!$A$4:$H$17,8,)</f>
        <v>360529.12479999982</v>
      </c>
      <c r="P20" s="412">
        <f>VLOOKUP($A$4:$A$30,'[3]ANEXO XI - CSC Total'!$A$3:$F$37,4,)</f>
        <v>57886.45</v>
      </c>
      <c r="Q20" s="412">
        <f>VLOOKUP($A$4:$A$30,'[3]ANEXO XI - CSC Total'!$A$3:$F$37,6,)-P20</f>
        <v>8158.2299999999959</v>
      </c>
      <c r="R20" s="389">
        <f>VLOOKUP($A$4:$A$30,'[3]ANEXO XI - CSC Total'!$A$3:$F$35,3,)+VLOOKUP($A$4:$A$30,'[3]ANEXO XI - CSC Total'!$A$3:$F$35,5,)-Q20</f>
        <v>0</v>
      </c>
      <c r="S20" s="412"/>
      <c r="U20" s="412">
        <f>VLOOKUP($A$4:$A$30,'[3]XIII. TAXAS BANCÁRIAS'!$A$3:$D$33,4,)</f>
        <v>2980.3792432000005</v>
      </c>
      <c r="W20" s="414">
        <f>VLOOKUP($A$4:$A$30,'[3]ANEXO I'!$A$5:$Y$37,3,)</f>
        <v>1495</v>
      </c>
      <c r="X20" s="415">
        <f>VLOOKUP($A$4:$A$30,'[3]ANEXO I'!$A$5:$Y$37,12,)</f>
        <v>25.786593707250333</v>
      </c>
      <c r="Y20" s="414">
        <f>VLOOKUP($A$4:$A$30,'[3]ANEXO I'!$A$5:$Y$37,15,)</f>
        <v>266</v>
      </c>
      <c r="Z20" s="415">
        <f>VLOOKUP($A$4:$A$30,'[3]ANEXO I'!$A$5:$Y$37,21,)</f>
        <v>43.609022556390975</v>
      </c>
      <c r="AA20" s="414">
        <f>VLOOKUP($A$4:$A$30,'[3]ANEXO I'!$A$5:$Y$37,24,)</f>
        <v>4578</v>
      </c>
      <c r="AC20" s="389">
        <f>VLOOKUP($A$4:$A$30,'[3]ANEXO XI.II Enc de Contas'!$A$2:$D$32,4,)</f>
        <v>198.589436962864</v>
      </c>
      <c r="AE20" s="389">
        <f>VLOOKUP($A$4:$A$30,'[4]Demonstrativos 2020'!$A$6:$Y$32,25,)</f>
        <v>102180.46</v>
      </c>
    </row>
    <row r="21" spans="1:36" ht="16.5" thickBot="1" x14ac:dyDescent="0.3">
      <c r="A21" s="411" t="s">
        <v>828</v>
      </c>
      <c r="B21" s="412">
        <f>VLOOKUP($A$4:$A$30,'[3]ANEXO III Anexo IX (100 e 80%)'!$AW$6:$CA$38,7,)</f>
        <v>3295161.96</v>
      </c>
      <c r="C21" s="412">
        <f>VLOOKUP($A$4:$A$30,'[3]ANEXO III Anexo IX (100 e 80%)'!$AW$6:$CA$38,8,)</f>
        <v>597154.62</v>
      </c>
      <c r="D21" s="412">
        <f t="shared" si="0"/>
        <v>3892316.58</v>
      </c>
      <c r="E21" s="412">
        <f>VLOOKUP($A$4:$A$30,'[3]ANEXO III Anexo IX (100 e 80%)'!$AW$6:$CA$38,17,)</f>
        <v>459414.76</v>
      </c>
      <c r="F21" s="412">
        <f>VLOOKUP($A$4:$A$30,'[3]ANEXO III Anexo IX (100 e 80%)'!$AW$6:$CA$38,18,)</f>
        <v>136120.97999999998</v>
      </c>
      <c r="G21" s="412">
        <f t="shared" si="1"/>
        <v>595535.74</v>
      </c>
      <c r="H21" s="412">
        <f>VLOOKUP($A$4:$A$30,'[3]ANEXO III Anexo IX (100 e 80%)'!$AW$6:$CA$38,25,)</f>
        <v>6182917.4399999995</v>
      </c>
      <c r="I21" s="412">
        <f>VLOOKUP($A$4:$A$30,'[3]ANEXO III Anexo IX (100 e 80%)'!$AW$6:$CA$38,31,)</f>
        <v>397911.73</v>
      </c>
      <c r="J21" s="413">
        <f t="shared" si="2"/>
        <v>11068681.49</v>
      </c>
      <c r="K21" s="387">
        <f>J21-VLOOKUP($A$4:$A$30,'[3]ANEXO III Anexo IX (100 e 80%)'!$AW$6:$CM$38,43,)</f>
        <v>0</v>
      </c>
      <c r="L21" s="412">
        <f>VLOOKUP($A$4:$A$30,'[3]Anexo X-Aporte FA com exerc.'!$A$4:$C$33,3,)</f>
        <v>241349.58303519653</v>
      </c>
      <c r="M21" s="412"/>
      <c r="N21" s="412"/>
      <c r="P21" s="412">
        <f>VLOOKUP($A$4:$A$30,'[3]ANEXO XI - CSC Total'!$A$3:$F$37,4,)</f>
        <v>748274.1</v>
      </c>
      <c r="Q21" s="412">
        <f>VLOOKUP($A$4:$A$30,'[3]ANEXO XI - CSC Total'!$A$3:$F$37,6,)-P21</f>
        <v>109666.18000000005</v>
      </c>
      <c r="R21" s="389">
        <f>VLOOKUP($A$4:$A$30,'[3]ANEXO XI - CSC Total'!$A$3:$F$35,3,)+VLOOKUP($A$4:$A$30,'[3]ANEXO XI - CSC Total'!$A$3:$F$35,5,)-Q21</f>
        <v>0</v>
      </c>
      <c r="S21" s="412"/>
      <c r="U21" s="412">
        <f>VLOOKUP($A$4:$A$30,'[3]XIII. TAXAS BANCÁRIAS'!$A$3:$D$33,4,)</f>
        <v>50295.025592400016</v>
      </c>
      <c r="W21" s="414">
        <f>VLOOKUP($A$4:$A$30,'[3]ANEXO I'!$A$5:$Y$37,3,)</f>
        <v>14079</v>
      </c>
      <c r="X21" s="415">
        <f>VLOOKUP($A$4:$A$30,'[3]ANEXO I'!$A$5:$Y$37,12,)</f>
        <v>25.150788460140987</v>
      </c>
      <c r="Y21" s="414">
        <f>VLOOKUP($A$4:$A$30,'[3]ANEXO I'!$A$5:$Y$37,15,)</f>
        <v>2799</v>
      </c>
      <c r="Z21" s="415">
        <f>VLOOKUP($A$4:$A$30,'[3]ANEXO I'!$A$5:$Y$37,21,)</f>
        <v>46.40943193997856</v>
      </c>
      <c r="AA21" s="414">
        <f>VLOOKUP($A$4:$A$30,'[3]ANEXO I'!$A$5:$Y$37,24,)</f>
        <v>78904</v>
      </c>
      <c r="AC21" s="389">
        <f>VLOOKUP($A$4:$A$30,'[3]ANEXO XI.II Enc de Contas'!$A$2:$D$32,4,)</f>
        <v>5689.1023258268287</v>
      </c>
      <c r="AE21" s="389">
        <f>VLOOKUP($A$4:$A$30,'[4]Demonstrativos 2020'!$A$6:$Y$32,25,)</f>
        <v>13878149.049999999</v>
      </c>
    </row>
    <row r="22" spans="1:36" ht="16.5" thickBot="1" x14ac:dyDescent="0.3">
      <c r="A22" s="411" t="s">
        <v>829</v>
      </c>
      <c r="B22" s="412">
        <f>VLOOKUP($A$4:$A$30,'[3]ANEXO III Anexo IX (100 e 80%)'!$AW$6:$CA$38,7,)</f>
        <v>4118030.05</v>
      </c>
      <c r="C22" s="412">
        <f>VLOOKUP($A$4:$A$30,'[3]ANEXO III Anexo IX (100 e 80%)'!$AW$6:$CA$38,8,)</f>
        <v>1358695.97</v>
      </c>
      <c r="D22" s="412">
        <f t="shared" si="0"/>
        <v>5476726.0199999996</v>
      </c>
      <c r="E22" s="412">
        <f>VLOOKUP($A$4:$A$30,'[3]ANEXO III Anexo IX (100 e 80%)'!$AW$6:$CA$38,17,)</f>
        <v>576993.97</v>
      </c>
      <c r="F22" s="412">
        <f>VLOOKUP($A$4:$A$30,'[3]ANEXO III Anexo IX (100 e 80%)'!$AW$6:$CA$38,18,)</f>
        <v>300519.2</v>
      </c>
      <c r="G22" s="412">
        <f t="shared" si="1"/>
        <v>877513.16999999993</v>
      </c>
      <c r="H22" s="412">
        <f>VLOOKUP($A$4:$A$30,'[3]ANEXO III Anexo IX (100 e 80%)'!$AW$6:$CA$38,25,)</f>
        <v>4213417.2</v>
      </c>
      <c r="I22" s="412">
        <f>VLOOKUP($A$4:$A$30,'[3]ANEXO III Anexo IX (100 e 80%)'!$AW$6:$CA$38,31,)</f>
        <v>463547.14</v>
      </c>
      <c r="J22" s="413">
        <f t="shared" si="2"/>
        <v>11031203.529999999</v>
      </c>
      <c r="K22" s="387">
        <f>J22-VLOOKUP($A$4:$A$30,'[3]ANEXO III Anexo IX (100 e 80%)'!$AW$6:$CM$38,43,)</f>
        <v>0</v>
      </c>
      <c r="L22" s="412">
        <f>VLOOKUP($A$4:$A$30,'[3]Anexo X-Aporte FA com exerc.'!$A$4:$C$33,3,)</f>
        <v>221036.3458554972</v>
      </c>
      <c r="M22" s="412"/>
      <c r="N22" s="412"/>
      <c r="P22" s="412">
        <f>VLOOKUP($A$4:$A$30,'[3]ANEXO XI - CSC Total'!$A$3:$F$37,4,)</f>
        <v>685295.46</v>
      </c>
      <c r="Q22" s="412">
        <f>VLOOKUP($A$4:$A$30,'[3]ANEXO XI - CSC Total'!$A$3:$F$37,6,)-P22</f>
        <v>110324.29000000004</v>
      </c>
      <c r="R22" s="389">
        <f>VLOOKUP($A$4:$A$30,'[3]ANEXO XI - CSC Total'!$A$3:$F$35,3,)+VLOOKUP($A$4:$A$30,'[3]ANEXO XI - CSC Total'!$A$3:$F$35,5,)-Q22</f>
        <v>0</v>
      </c>
      <c r="S22" s="412">
        <f>VLOOKUP($A$4:$A$30,'[3]Anexo XII- SISCAF'!$A$11:$C$31,3,)</f>
        <v>151073.60179999997</v>
      </c>
      <c r="U22" s="412">
        <f>VLOOKUP($A$4:$A$30,'[3]XIII. TAXAS BANCÁRIAS'!$A$3:$D$33,4,)</f>
        <v>35156.119824400004</v>
      </c>
      <c r="W22" s="414">
        <f>VLOOKUP($A$4:$A$30,'[3]ANEXO I'!$A$5:$Y$37,3,)</f>
        <v>21006</v>
      </c>
      <c r="X22" s="415">
        <f>VLOOKUP($A$4:$A$30,'[3]ANEXO I'!$A$5:$Y$37,12,)</f>
        <v>29.420857947330646</v>
      </c>
      <c r="Y22" s="414">
        <f>VLOOKUP($A$4:$A$30,'[3]ANEXO I'!$A$5:$Y$37,15,)</f>
        <v>2812</v>
      </c>
      <c r="Z22" s="415">
        <f>VLOOKUP($A$4:$A$30,'[3]ANEXO I'!$A$5:$Y$37,21,)</f>
        <v>44.594594594594597</v>
      </c>
      <c r="AA22" s="414">
        <f>VLOOKUP($A$4:$A$30,'[3]ANEXO I'!$A$5:$Y$37,24,)</f>
        <v>53770</v>
      </c>
      <c r="AC22" s="389">
        <f>VLOOKUP($A$4:$A$30,'[3]ANEXO XI.II Enc de Contas'!$A$2:$D$32,4,)</f>
        <v>12093.81861566879</v>
      </c>
      <c r="AE22" s="389">
        <f>VLOOKUP($A$4:$A$30,'[4]Demonstrativos 2020'!$A$6:$Y$32,25,)</f>
        <v>5942954.9100000001</v>
      </c>
    </row>
    <row r="23" spans="1:36" ht="16.5" thickBot="1" x14ac:dyDescent="0.3">
      <c r="A23" s="411" t="s">
        <v>830</v>
      </c>
      <c r="B23" s="412">
        <f>VLOOKUP($A$4:$A$30,'[3]ANEXO III Anexo IX (100 e 80%)'!$AW$6:$CA$38,7,)</f>
        <v>585039</v>
      </c>
      <c r="C23" s="412">
        <f>VLOOKUP($A$4:$A$30,'[3]ANEXO III Anexo IX (100 e 80%)'!$AW$6:$CA$38,8,)</f>
        <v>157137.47999999998</v>
      </c>
      <c r="D23" s="412">
        <f t="shared" si="0"/>
        <v>742176.48</v>
      </c>
      <c r="E23" s="412">
        <f>VLOOKUP($A$4:$A$30,'[3]ANEXO III Anexo IX (100 e 80%)'!$AW$6:$CA$38,17,)</f>
        <v>46798.61</v>
      </c>
      <c r="F23" s="412">
        <f>VLOOKUP($A$4:$A$30,'[3]ANEXO III Anexo IX (100 e 80%)'!$AW$6:$CA$38,18,)</f>
        <v>39673.74</v>
      </c>
      <c r="G23" s="412">
        <f t="shared" si="1"/>
        <v>86472.35</v>
      </c>
      <c r="H23" s="412">
        <f>VLOOKUP($A$4:$A$30,'[3]ANEXO III Anexo IX (100 e 80%)'!$AW$6:$CA$38,25,)</f>
        <v>766204.08000000007</v>
      </c>
      <c r="I23" s="412">
        <f>VLOOKUP($A$4:$A$30,'[3]ANEXO III Anexo IX (100 e 80%)'!$AW$6:$CA$38,31,)</f>
        <v>72532.850000000006</v>
      </c>
      <c r="J23" s="413">
        <f t="shared" si="2"/>
        <v>1667385.76</v>
      </c>
      <c r="K23" s="387">
        <f>J23-VLOOKUP($A$4:$A$30,'[3]ANEXO III Anexo IX (100 e 80%)'!$AW$6:$CM$38,43,)</f>
        <v>0</v>
      </c>
      <c r="L23" s="412">
        <f>VLOOKUP($A$4:$A$30,'[3]Anexo X-Aporte FA com exerc.'!$A$4:$C$33,3,)</f>
        <v>35126.084999051796</v>
      </c>
      <c r="M23" s="412"/>
      <c r="N23" s="412"/>
      <c r="P23" s="412">
        <f>VLOOKUP($A$4:$A$30,'[3]ANEXO XI - CSC Total'!$A$3:$F$37,4,)</f>
        <v>108904.02</v>
      </c>
      <c r="Q23" s="412">
        <f>VLOOKUP($A$4:$A$30,'[3]ANEXO XI - CSC Total'!$A$3:$F$37,6,)-P23</f>
        <v>15940.050000000003</v>
      </c>
      <c r="R23" s="389">
        <f>VLOOKUP($A$4:$A$30,'[3]ANEXO XI - CSC Total'!$A$3:$F$35,3,)+VLOOKUP($A$4:$A$30,'[3]ANEXO XI - CSC Total'!$A$3:$F$35,5,)-Q23</f>
        <v>0</v>
      </c>
      <c r="S23" s="412"/>
      <c r="U23" s="412">
        <f>VLOOKUP($A$4:$A$30,'[3]XIII. TAXAS BANCÁRIAS'!$A$3:$D$33,4,)</f>
        <v>6739.7539172000006</v>
      </c>
      <c r="W23" s="414">
        <f>VLOOKUP($A$4:$A$30,'[3]ANEXO I'!$A$5:$Y$37,3,)</f>
        <v>2626</v>
      </c>
      <c r="X23" s="415">
        <f>VLOOKUP($A$4:$A$30,'[3]ANEXO I'!$A$5:$Y$37,12,)</f>
        <v>29.783113865220756</v>
      </c>
      <c r="Y23" s="414">
        <f>VLOOKUP($A$4:$A$30,'[3]ANEXO I'!$A$5:$Y$37,15,)</f>
        <v>305</v>
      </c>
      <c r="Z23" s="415">
        <f>VLOOKUP($A$4:$A$30,'[3]ANEXO I'!$A$5:$Y$37,21,)</f>
        <v>55.73770491803279</v>
      </c>
      <c r="AA23" s="414">
        <f>VLOOKUP($A$4:$A$30,'[3]ANEXO I'!$A$5:$Y$37,24,)</f>
        <v>9778</v>
      </c>
      <c r="AC23" s="389">
        <f>VLOOKUP($A$4:$A$30,'[3]ANEXO XI.II Enc de Contas'!$A$2:$D$32,4,)</f>
        <v>238.7437988322913</v>
      </c>
      <c r="AE23" s="389">
        <f>VLOOKUP($A$4:$A$30,'[4]Demonstrativos 2020'!$A$6:$Y$32,25,)</f>
        <v>1125992.78</v>
      </c>
    </row>
    <row r="24" spans="1:36" ht="16.5" thickBot="1" x14ac:dyDescent="0.3">
      <c r="A24" s="411" t="s">
        <v>831</v>
      </c>
      <c r="B24" s="412">
        <f>VLOOKUP($A$4:$A$30,'[3]ANEXO III Anexo IX (100 e 80%)'!$AW$6:$CA$38,7,)</f>
        <v>297526.93</v>
      </c>
      <c r="C24" s="412">
        <f>VLOOKUP($A$4:$A$30,'[3]ANEXO III Anexo IX (100 e 80%)'!$AW$6:$CA$38,8,)</f>
        <v>50792.11</v>
      </c>
      <c r="D24" s="412">
        <f t="shared" si="0"/>
        <v>348319.04</v>
      </c>
      <c r="E24" s="412">
        <f>VLOOKUP($A$4:$A$30,'[3]ANEXO III Anexo IX (100 e 80%)'!$AW$6:$CA$38,17,)</f>
        <v>39008.199999999997</v>
      </c>
      <c r="F24" s="412">
        <f>VLOOKUP($A$4:$A$30,'[3]ANEXO III Anexo IX (100 e 80%)'!$AW$6:$CA$38,18,)</f>
        <v>14584.25</v>
      </c>
      <c r="G24" s="412">
        <f t="shared" si="1"/>
        <v>53592.45</v>
      </c>
      <c r="H24" s="412">
        <f>VLOOKUP($A$4:$A$30,'[3]ANEXO III Anexo IX (100 e 80%)'!$AW$6:$CA$38,25,)</f>
        <v>824974.08</v>
      </c>
      <c r="I24" s="412">
        <f>VLOOKUP($A$4:$A$30,'[3]ANEXO III Anexo IX (100 e 80%)'!$AW$6:$CA$38,31,)</f>
        <v>48087.68</v>
      </c>
      <c r="J24" s="413">
        <f t="shared" si="2"/>
        <v>1274973.25</v>
      </c>
      <c r="K24" s="387">
        <f>J24-VLOOKUP($A$4:$A$30,'[3]ANEXO III Anexo IX (100 e 80%)'!$AW$6:$CM$38,43,)</f>
        <v>0</v>
      </c>
      <c r="L24" s="412">
        <f>VLOOKUP($A$4:$A$30,'[3]Anexo X-Aporte FA com exerc.'!$A$4:$C$33,3,)</f>
        <v>27972.166910285716</v>
      </c>
      <c r="M24" s="412">
        <f>VLOOKUP($A$4:$A$30,'[3]Anexo X-Repasse FA com exerc.'!$A$4:$G$17,7,)</f>
        <v>3410</v>
      </c>
      <c r="N24" s="412">
        <f>VLOOKUP($A$4:$A$30,'[3]Anexo X-Repasse FA com exerc.'!$A$4:$H$17,8,)</f>
        <v>31316.17835331415</v>
      </c>
      <c r="P24" s="412">
        <f>VLOOKUP($A$4:$A$30,'[3]ANEXO XI - CSC Total'!$A$3:$F$37,4,)</f>
        <v>86724.19</v>
      </c>
      <c r="Q24" s="412">
        <f>VLOOKUP($A$4:$A$30,'[3]ANEXO XI - CSC Total'!$A$3:$F$37,6,)-P24</f>
        <v>12463.069999999992</v>
      </c>
      <c r="R24" s="389">
        <f>VLOOKUP($A$4:$A$30,'[3]ANEXO XI - CSC Total'!$A$3:$F$35,3,)+VLOOKUP($A$4:$A$30,'[3]ANEXO XI - CSC Total'!$A$3:$F$35,5,)-Q24</f>
        <v>0</v>
      </c>
      <c r="S24" s="412"/>
      <c r="U24" s="412">
        <f>VLOOKUP($A$4:$A$30,'[3]XIII. TAXAS BANCÁRIAS'!$A$3:$D$33,4,)</f>
        <v>5242.6526508000006</v>
      </c>
      <c r="W24" s="414">
        <f>VLOOKUP($A$4:$A$30,'[3]ANEXO I'!$A$5:$Y$37,3,)</f>
        <v>1337</v>
      </c>
      <c r="X24" s="415">
        <f>VLOOKUP($A$4:$A$30,'[3]ANEXO I'!$A$5:$Y$37,12,)</f>
        <v>28.120300751879697</v>
      </c>
      <c r="Y24" s="414">
        <f>VLOOKUP($A$4:$A$30,'[3]ANEXO I'!$A$5:$Y$37,15,)</f>
        <v>233</v>
      </c>
      <c r="Z24" s="415">
        <f>VLOOKUP($A$4:$A$30,'[3]ANEXO I'!$A$5:$Y$37,21,)</f>
        <v>54.935622317596568</v>
      </c>
      <c r="AA24" s="414">
        <f>VLOOKUP($A$4:$A$30,'[3]ANEXO I'!$A$5:$Y$37,24,)</f>
        <v>10528</v>
      </c>
      <c r="AC24" s="389">
        <f>VLOOKUP($A$4:$A$30,'[3]ANEXO XI.II Enc de Contas'!$A$2:$D$32,4,)</f>
        <v>273.1146654783015</v>
      </c>
      <c r="AE24" s="389">
        <f>VLOOKUP($A$4:$A$30,'[4]Demonstrativos 2020'!$A$6:$Y$32,25,)</f>
        <v>1207427.8900000001</v>
      </c>
    </row>
    <row r="25" spans="1:36" ht="16.5" thickBot="1" x14ac:dyDescent="0.3">
      <c r="A25" s="411" t="s">
        <v>832</v>
      </c>
      <c r="B25" s="412">
        <f>VLOOKUP($A$4:$A$30,'[3]ANEXO III Anexo IX (100 e 80%)'!$AW$6:$CA$38,7,)</f>
        <v>48985.880000000005</v>
      </c>
      <c r="C25" s="412">
        <f>VLOOKUP($A$4:$A$30,'[3]ANEXO III Anexo IX (100 e 80%)'!$AW$6:$CA$38,8,)</f>
        <v>10597.97</v>
      </c>
      <c r="D25" s="412">
        <f t="shared" si="0"/>
        <v>59583.850000000006</v>
      </c>
      <c r="E25" s="412">
        <f>VLOOKUP($A$4:$A$30,'[3]ANEXO III Anexo IX (100 e 80%)'!$AW$6:$CA$38,17,)</f>
        <v>7966.4699999999993</v>
      </c>
      <c r="F25" s="412">
        <f>VLOOKUP($A$4:$A$30,'[3]ANEXO III Anexo IX (100 e 80%)'!$AW$6:$CA$38,18,)</f>
        <v>4434.5599999999995</v>
      </c>
      <c r="G25" s="412">
        <f t="shared" si="1"/>
        <v>12401.029999999999</v>
      </c>
      <c r="H25" s="412">
        <f>VLOOKUP($A$4:$A$30,'[3]ANEXO III Anexo IX (100 e 80%)'!$AW$6:$CA$38,25,)</f>
        <v>98576.88</v>
      </c>
      <c r="I25" s="412">
        <f>VLOOKUP($A$4:$A$30,'[3]ANEXO III Anexo IX (100 e 80%)'!$AW$6:$CA$38,31,)</f>
        <v>5830.72</v>
      </c>
      <c r="J25" s="413">
        <f t="shared" si="2"/>
        <v>176392.48</v>
      </c>
      <c r="K25" s="387">
        <f>J25-VLOOKUP($A$4:$A$30,'[3]ANEXO III Anexo IX (100 e 80%)'!$AW$6:$CM$38,43,)</f>
        <v>0</v>
      </c>
      <c r="L25" s="412">
        <f>VLOOKUP($A$4:$A$30,'[3]Anexo X-Aporte FA com exerc.'!$A$4:$C$33,3,)</f>
        <v>3756.8419188211128</v>
      </c>
      <c r="M25" s="412">
        <f>VLOOKUP($A$4:$A$30,'[3]Anexo X-Repasse FA com exerc.'!$A$4:$G$17,7,)</f>
        <v>13240</v>
      </c>
      <c r="N25" s="412">
        <f>VLOOKUP($A$4:$A$30,'[3]Anexo X-Repasse FA com exerc.'!$A$4:$H$17,8,)</f>
        <v>936363.21600000001</v>
      </c>
      <c r="P25" s="412">
        <f>VLOOKUP($A$4:$A$30,'[3]ANEXO XI - CSC Total'!$A$3:$F$37,4,)</f>
        <v>11647.62</v>
      </c>
      <c r="Q25" s="412">
        <f>VLOOKUP($A$4:$A$30,'[3]ANEXO XI - CSC Total'!$A$3:$F$37,6,)-P25</f>
        <v>1745.0100000000002</v>
      </c>
      <c r="R25" s="389">
        <f>VLOOKUP($A$4:$A$30,'[3]ANEXO XI - CSC Total'!$A$3:$F$35,3,)+VLOOKUP($A$4:$A$30,'[3]ANEXO XI - CSC Total'!$A$3:$F$35,5,)-Q25</f>
        <v>0</v>
      </c>
      <c r="S25" s="412"/>
      <c r="U25" s="412">
        <f>VLOOKUP($A$4:$A$30,'[3]XIII. TAXAS BANCÁRIAS'!$A$3:$D$33,4,)</f>
        <v>665.82405000000017</v>
      </c>
      <c r="W25" s="414">
        <f>VLOOKUP($A$4:$A$30,'[3]ANEXO I'!$A$5:$Y$37,3,)</f>
        <v>239</v>
      </c>
      <c r="X25" s="415">
        <f>VLOOKUP($A$4:$A$30,'[3]ANEXO I'!$A$5:$Y$37,12,)</f>
        <v>35.775862068965509</v>
      </c>
      <c r="Y25" s="414">
        <f>VLOOKUP($A$4:$A$30,'[3]ANEXO I'!$A$5:$Y$37,15,)</f>
        <v>62</v>
      </c>
      <c r="Z25" s="415">
        <f>VLOOKUP($A$4:$A$30,'[3]ANEXO I'!$A$5:$Y$37,21,)</f>
        <v>66.129032258064512</v>
      </c>
      <c r="AA25" s="414">
        <f>VLOOKUP($A$4:$A$30,'[3]ANEXO I'!$A$5:$Y$37,24,)</f>
        <v>1258</v>
      </c>
      <c r="AC25" s="389">
        <f>VLOOKUP($A$4:$A$30,'[3]ANEXO XI.II Enc de Contas'!$A$2:$D$32,4,)</f>
        <v>30.860942904199344</v>
      </c>
      <c r="AE25" s="389">
        <f>VLOOKUP($A$4:$A$30,'[4]Demonstrativos 2020'!$A$6:$Y$32,25,)</f>
        <v>245329.86999999997</v>
      </c>
    </row>
    <row r="26" spans="1:36" ht="16.5" thickBot="1" x14ac:dyDescent="0.3">
      <c r="A26" s="411" t="s">
        <v>833</v>
      </c>
      <c r="B26" s="412">
        <f>VLOOKUP($A$4:$A$30,'[3]ANEXO III Anexo IX (100 e 80%)'!$AW$6:$CA$38,7,)</f>
        <v>4135007.87</v>
      </c>
      <c r="C26" s="412">
        <f>VLOOKUP($A$4:$A$30,'[3]ANEXO III Anexo IX (100 e 80%)'!$AW$6:$CA$38,8,)</f>
        <v>674682.09</v>
      </c>
      <c r="D26" s="412">
        <f t="shared" si="0"/>
        <v>4809689.96</v>
      </c>
      <c r="E26" s="412">
        <f>VLOOKUP($A$4:$A$30,'[3]ANEXO III Anexo IX (100 e 80%)'!$AW$6:$CA$38,17,)</f>
        <v>515100.73</v>
      </c>
      <c r="F26" s="412">
        <f>VLOOKUP($A$4:$A$30,'[3]ANEXO III Anexo IX (100 e 80%)'!$AW$6:$CA$38,18,)</f>
        <v>201265.53</v>
      </c>
      <c r="G26" s="412">
        <f t="shared" si="1"/>
        <v>716366.26</v>
      </c>
      <c r="H26" s="412">
        <f>VLOOKUP($A$4:$A$30,'[3]ANEXO III Anexo IX (100 e 80%)'!$AW$6:$CA$38,25,)</f>
        <v>7347973.9199999999</v>
      </c>
      <c r="I26" s="412">
        <f>VLOOKUP($A$4:$A$30,'[3]ANEXO III Anexo IX (100 e 80%)'!$AW$6:$CA$38,31,)</f>
        <v>473674.79000000004</v>
      </c>
      <c r="J26" s="413">
        <f t="shared" si="2"/>
        <v>13347704.93</v>
      </c>
      <c r="K26" s="387">
        <f>J26-VLOOKUP($A$4:$A$30,'[3]ANEXO III Anexo IX (100 e 80%)'!$AW$6:$CM$38,43,)</f>
        <v>0</v>
      </c>
      <c r="L26" s="412">
        <f>VLOOKUP($A$4:$A$30,'[3]Anexo X-Aporte FA com exerc.'!$A$4:$C$33,3,)</f>
        <v>291245.10932672629</v>
      </c>
      <c r="M26" s="412"/>
      <c r="N26" s="412"/>
      <c r="P26" s="412">
        <f>VLOOKUP($A$4:$A$30,'[3]ANEXO XI - CSC Total'!$A$3:$F$37,4,)</f>
        <v>902968.92</v>
      </c>
      <c r="Q26" s="412">
        <f>VLOOKUP($A$4:$A$30,'[3]ANEXO XI - CSC Total'!$A$3:$F$37,6,)-P26</f>
        <v>131001.64000000001</v>
      </c>
      <c r="R26" s="389">
        <f>VLOOKUP($A$4:$A$30,'[3]ANEXO XI - CSC Total'!$A$3:$F$35,3,)+VLOOKUP($A$4:$A$30,'[3]ANEXO XI - CSC Total'!$A$3:$F$35,5,)-Q26</f>
        <v>0</v>
      </c>
      <c r="S26" s="412"/>
      <c r="U26" s="412">
        <f>VLOOKUP($A$4:$A$30,'[3]XIII. TAXAS BANCÁRIAS'!$A$3:$D$33,4,)</f>
        <v>59904.134789200012</v>
      </c>
      <c r="W26" s="414">
        <f>VLOOKUP($A$4:$A$30,'[3]ANEXO I'!$A$5:$Y$37,3,)</f>
        <v>17463</v>
      </c>
      <c r="X26" s="415">
        <f>VLOOKUP($A$4:$A$30,'[3]ANEXO I'!$A$5:$Y$37,12,)</f>
        <v>24.453398115778867</v>
      </c>
      <c r="Y26" s="414">
        <f>VLOOKUP($A$4:$A$30,'[3]ANEXO I'!$A$5:$Y$37,15,)</f>
        <v>2828</v>
      </c>
      <c r="Z26" s="415">
        <f>VLOOKUP($A$4:$A$30,'[3]ANEXO I'!$A$5:$Y$37,21,)</f>
        <v>44.97878359264498</v>
      </c>
      <c r="AA26" s="414">
        <f>VLOOKUP($A$4:$A$30,'[3]ANEXO I'!$A$5:$Y$37,24,)</f>
        <v>93772</v>
      </c>
      <c r="AC26" s="389">
        <f>VLOOKUP($A$4:$A$30,'[3]ANEXO XI.II Enc de Contas'!$A$2:$D$32,4,)</f>
        <v>3015.6315392028523</v>
      </c>
      <c r="AE26" s="389">
        <f>VLOOKUP($A$4:$A$30,'[4]Demonstrativos 2020'!$A$6:$Y$32,25,)</f>
        <v>18607318.912999999</v>
      </c>
    </row>
    <row r="27" spans="1:36" ht="16.5" thickBot="1" x14ac:dyDescent="0.3">
      <c r="A27" s="411" t="s">
        <v>834</v>
      </c>
      <c r="B27" s="412">
        <f>VLOOKUP($A$4:$A$30,'[3]ANEXO III Anexo IX (100 e 80%)'!$AW$6:$CA$38,7,)</f>
        <v>2795823.03</v>
      </c>
      <c r="C27" s="412">
        <f>VLOOKUP($A$4:$A$30,'[3]ANEXO III Anexo IX (100 e 80%)'!$AW$6:$CA$38,8,)</f>
        <v>531290.57999999996</v>
      </c>
      <c r="D27" s="412">
        <f t="shared" si="0"/>
        <v>3327113.61</v>
      </c>
      <c r="E27" s="412">
        <f>VLOOKUP($A$4:$A$30,'[3]ANEXO III Anexo IX (100 e 80%)'!$AW$6:$CA$38,17,)</f>
        <v>351243.78</v>
      </c>
      <c r="F27" s="412">
        <f>VLOOKUP($A$4:$A$30,'[3]ANEXO III Anexo IX (100 e 80%)'!$AW$6:$CA$38,18,)</f>
        <v>92983.78</v>
      </c>
      <c r="G27" s="412">
        <f t="shared" si="1"/>
        <v>444227.56000000006</v>
      </c>
      <c r="H27" s="412">
        <f>VLOOKUP($A$4:$A$30,'[3]ANEXO III Anexo IX (100 e 80%)'!$AW$6:$CA$38,25,)</f>
        <v>4717193.6399999997</v>
      </c>
      <c r="I27" s="412">
        <f>VLOOKUP($A$4:$A$30,'[3]ANEXO III Anexo IX (100 e 80%)'!$AW$6:$CA$38,31,)</f>
        <v>262870.02</v>
      </c>
      <c r="J27" s="413">
        <f t="shared" si="2"/>
        <v>8751404.8300000001</v>
      </c>
      <c r="K27" s="387">
        <f>J27-VLOOKUP($A$4:$A$30,'[3]ANEXO III Anexo IX (100 e 80%)'!$AW$6:$CM$38,43,)</f>
        <v>0</v>
      </c>
      <c r="L27" s="412">
        <f>VLOOKUP($A$4:$A$30,'[3]Anexo X-Aporte FA com exerc.'!$A$4:$C$33,3,)</f>
        <v>188303.1107076419</v>
      </c>
      <c r="M27" s="412"/>
      <c r="N27" s="412"/>
      <c r="P27" s="412">
        <f>VLOOKUP($A$4:$A$30,'[3]ANEXO XI - CSC Total'!$A$3:$F$37,4,)</f>
        <v>583810.17000000004</v>
      </c>
      <c r="Q27" s="412">
        <f>VLOOKUP($A$4:$A$30,'[3]ANEXO XI - CSC Total'!$A$3:$F$37,6,)-P27</f>
        <v>85215.709999999963</v>
      </c>
      <c r="R27" s="389">
        <f>VLOOKUP($A$4:$A$30,'[3]ANEXO XI - CSC Total'!$A$3:$F$35,3,)+VLOOKUP($A$4:$A$30,'[3]ANEXO XI - CSC Total'!$A$3:$F$35,5,)-Q27</f>
        <v>0</v>
      </c>
      <c r="S27" s="412"/>
      <c r="U27" s="412">
        <f>VLOOKUP($A$4:$A$30,'[3]XIII. TAXAS BANCÁRIAS'!$A$3:$D$33,4,)</f>
        <v>37249.429820800004</v>
      </c>
      <c r="W27" s="414">
        <f>VLOOKUP($A$4:$A$30,'[3]ANEXO I'!$A$5:$Y$37,3,)</f>
        <v>11363</v>
      </c>
      <c r="X27" s="415">
        <f>VLOOKUP($A$4:$A$30,'[3]ANEXO I'!$A$5:$Y$37,12,)</f>
        <v>22.731759849232702</v>
      </c>
      <c r="Y27" s="414">
        <f>VLOOKUP($A$4:$A$30,'[3]ANEXO I'!$A$5:$Y$37,15,)</f>
        <v>1841</v>
      </c>
      <c r="Z27" s="415">
        <f>VLOOKUP($A$4:$A$30,'[3]ANEXO I'!$A$5:$Y$37,21,)</f>
        <v>46.333514394350892</v>
      </c>
      <c r="AA27" s="414">
        <f>VLOOKUP($A$4:$A$30,'[3]ANEXO I'!$A$5:$Y$37,24,)</f>
        <v>60199</v>
      </c>
      <c r="AC27" s="389">
        <f>VLOOKUP($A$4:$A$30,'[3]ANEXO XI.II Enc de Contas'!$A$2:$D$32,4,)</f>
        <v>4100.3041322366598</v>
      </c>
      <c r="AE27" s="389">
        <f>VLOOKUP($A$4:$A$30,'[4]Demonstrativos 2020'!$A$6:$Y$32,25,)</f>
        <v>8692538.4800000004</v>
      </c>
    </row>
    <row r="28" spans="1:36" s="428" customFormat="1" ht="16.5" thickBot="1" x14ac:dyDescent="0.3">
      <c r="A28" s="411" t="s">
        <v>835</v>
      </c>
      <c r="B28" s="412">
        <f>VLOOKUP($A$4:$A$30,'[3]ANEXO III Anexo IX (100 e 80%)'!$AW$6:$CA$38,7,)</f>
        <v>340847.92</v>
      </c>
      <c r="C28" s="412">
        <f>VLOOKUP($A$4:$A$30,'[3]ANEXO III Anexo IX (100 e 80%)'!$AW$6:$CA$38,8,)</f>
        <v>90592.659999999989</v>
      </c>
      <c r="D28" s="412">
        <f t="shared" si="0"/>
        <v>431440.57999999996</v>
      </c>
      <c r="E28" s="412">
        <f>VLOOKUP($A$4:$A$30,'[3]ANEXO III Anexo IX (100 e 80%)'!$AW$6:$CA$38,17,)</f>
        <v>30126.93</v>
      </c>
      <c r="F28" s="412">
        <f>VLOOKUP($A$4:$A$30,'[3]ANEXO III Anexo IX (100 e 80%)'!$AW$6:$CA$38,18,)</f>
        <v>12640.259999999998</v>
      </c>
      <c r="G28" s="412">
        <f t="shared" si="1"/>
        <v>42767.19</v>
      </c>
      <c r="H28" s="412">
        <f>VLOOKUP($A$4:$A$30,'[3]ANEXO III Anexo IX (100 e 80%)'!$AW$6:$CA$38,25,)</f>
        <v>523836.60000000003</v>
      </c>
      <c r="I28" s="412">
        <f>VLOOKUP($A$4:$A$30,'[3]ANEXO III Anexo IX (100 e 80%)'!$AW$6:$CA$38,31,)</f>
        <v>43774.89</v>
      </c>
      <c r="J28" s="413">
        <f t="shared" si="2"/>
        <v>1041819.2599999999</v>
      </c>
      <c r="K28" s="387">
        <f>J28-VLOOKUP($A$4:$A$30,'[3]ANEXO III Anexo IX (100 e 80%)'!$AW$6:$CM$38,43,)</f>
        <v>0</v>
      </c>
      <c r="L28" s="412">
        <f>VLOOKUP($A$4:$A$30,'[3]Anexo X-Aporte FA com exerc.'!$A$4:$C$33,3,)</f>
        <v>22540.661136271137</v>
      </c>
      <c r="M28" s="412">
        <f>VLOOKUP($A$4:$A$30,'[3]Anexo X-Repasse FA com exerc.'!$A$4:$G$17,7,)</f>
        <v>10440</v>
      </c>
      <c r="N28" s="412">
        <f>VLOOKUP($A$4:$A$30,'[3]Anexo X-Repasse FA com exerc.'!$A$4:$H$17,8,)</f>
        <v>197019.35399999988</v>
      </c>
      <c r="O28" s="388"/>
      <c r="P28" s="412">
        <f>VLOOKUP($A$4:$A$30,'[3]ANEXO XI - CSC Total'!$A$3:$F$37,4,)</f>
        <v>69884.490000000005</v>
      </c>
      <c r="Q28" s="412">
        <f>VLOOKUP($A$4:$A$30,'[3]ANEXO XI - CSC Total'!$A$3:$F$37,6,)-P28</f>
        <v>10199.720000000001</v>
      </c>
      <c r="R28" s="389">
        <f>VLOOKUP($A$4:$A$30,'[3]ANEXO XI - CSC Total'!$A$3:$F$35,3,)+VLOOKUP($A$4:$A$30,'[3]ANEXO XI - CSC Total'!$A$3:$F$35,5,)-Q28</f>
        <v>0</v>
      </c>
      <c r="S28" s="412">
        <f>VLOOKUP($A$4:$A$30,'[3]Anexo XII- SISCAF'!$A$11:$C$31,3,)</f>
        <v>7745.3309999999983</v>
      </c>
      <c r="T28" s="389"/>
      <c r="U28" s="412">
        <f>VLOOKUP($A$4:$A$30,'[3]XIII. TAXAS BANCÁRIAS'!$A$3:$D$33,4,)</f>
        <v>4006.1371736000001</v>
      </c>
      <c r="V28" s="389"/>
      <c r="W28" s="414">
        <f>VLOOKUP($A$4:$A$30,'[3]ANEXO I'!$A$5:$Y$37,3,)</f>
        <v>1553</v>
      </c>
      <c r="X28" s="415">
        <f>VLOOKUP($A$4:$A$30,'[3]ANEXO I'!$A$5:$Y$37,12,)</f>
        <v>29.508196721311478</v>
      </c>
      <c r="Y28" s="414">
        <f>VLOOKUP($A$4:$A$30,'[3]ANEXO I'!$A$5:$Y$37,15,)</f>
        <v>175</v>
      </c>
      <c r="Z28" s="415">
        <f>VLOOKUP($A$4:$A$30,'[3]ANEXO I'!$A$5:$Y$37,21,)</f>
        <v>40.571428571428569</v>
      </c>
      <c r="AA28" s="414">
        <f>VLOOKUP($A$4:$A$30,'[3]ANEXO I'!$A$5:$Y$37,24,)</f>
        <v>6685</v>
      </c>
      <c r="AB28" s="61"/>
      <c r="AC28" s="389">
        <f>VLOOKUP($A$4:$A$30,'[3]ANEXO XI.II Enc de Contas'!$A$2:$D$32,4,)</f>
        <v>110.50172666092315</v>
      </c>
      <c r="AD28" s="61"/>
      <c r="AE28" s="389">
        <f>VLOOKUP($A$4:$A$30,'[4]Demonstrativos 2020'!$A$6:$Y$32,25,)</f>
        <v>778556.55</v>
      </c>
      <c r="AJ28" s="429"/>
    </row>
    <row r="29" spans="1:36" ht="16.5" thickBot="1" x14ac:dyDescent="0.3">
      <c r="A29" s="411" t="s">
        <v>836</v>
      </c>
      <c r="B29" s="412">
        <f>VLOOKUP($A$4:$A$30,'[3]ANEXO III Anexo IX (100 e 80%)'!$AW$6:$CA$38,7,)</f>
        <v>14462994.970000001</v>
      </c>
      <c r="C29" s="412">
        <f>VLOOKUP($A$4:$A$30,'[3]ANEXO III Anexo IX (100 e 80%)'!$AW$6:$CA$38,8,)</f>
        <v>3454785.64</v>
      </c>
      <c r="D29" s="412">
        <f t="shared" si="0"/>
        <v>17917780.609999999</v>
      </c>
      <c r="E29" s="412">
        <f>VLOOKUP($A$4:$A$30,'[3]ANEXO III Anexo IX (100 e 80%)'!$AW$6:$CA$38,17,)</f>
        <v>1511169.7</v>
      </c>
      <c r="F29" s="412">
        <f>VLOOKUP($A$4:$A$30,'[3]ANEXO III Anexo IX (100 e 80%)'!$AW$6:$CA$38,18,)</f>
        <v>433573.5</v>
      </c>
      <c r="G29" s="412">
        <f t="shared" si="1"/>
        <v>1944743.2</v>
      </c>
      <c r="H29" s="412">
        <f>VLOOKUP($A$4:$A$30,'[3]ANEXO III Anexo IX (100 e 80%)'!$AW$6:$CA$38,25,)</f>
        <v>26818788.359999999</v>
      </c>
      <c r="I29" s="412">
        <f>VLOOKUP($A$4:$A$30,'[3]ANEXO III Anexo IX (100 e 80%)'!$AW$6:$CA$38,31,)</f>
        <v>1630098.87</v>
      </c>
      <c r="J29" s="413">
        <f t="shared" si="2"/>
        <v>48311411.039999999</v>
      </c>
      <c r="K29" s="387">
        <f>J29-VLOOKUP($A$4:$A$30,'[3]ANEXO III Anexo IX (100 e 80%)'!$AW$6:$CM$38,43,)</f>
        <v>0</v>
      </c>
      <c r="L29" s="412">
        <f>VLOOKUP($A$4:$A$30,'[3]Anexo X-Aporte FA com exerc.'!$A$4:$C$33,3,)</f>
        <v>1038741.6039739642</v>
      </c>
      <c r="M29" s="412"/>
      <c r="N29" s="412"/>
      <c r="P29" s="412">
        <f>VLOOKUP($A$4:$A$30,'[3]ANEXO XI - CSC Total'!$A$3:$F$37,4,)</f>
        <v>3220488.01</v>
      </c>
      <c r="Q29" s="412">
        <f>VLOOKUP($A$4:$A$30,'[3]ANEXO XI - CSC Total'!$A$3:$F$37,6,)-P29</f>
        <v>489779.08000000007</v>
      </c>
      <c r="R29" s="389">
        <f>VLOOKUP($A$4:$A$30,'[3]ANEXO XI - CSC Total'!$A$3:$F$35,3,)+VLOOKUP($A$4:$A$30,'[3]ANEXO XI - CSC Total'!$A$3:$F$35,5,)-Q29</f>
        <v>0</v>
      </c>
      <c r="S29" s="412"/>
      <c r="U29" s="412">
        <f>VLOOKUP($A$4:$A$30,'[3]XIII. TAXAS BANCÁRIAS'!$A$3:$D$33,4,)</f>
        <v>175793.39292120002</v>
      </c>
      <c r="W29" s="414">
        <f>VLOOKUP($A$4:$A$30,'[3]ANEXO I'!$A$5:$Y$37,3,)</f>
        <v>64529</v>
      </c>
      <c r="X29" s="415">
        <f>VLOOKUP($A$4:$A$30,'[3]ANEXO I'!$A$5:$Y$37,12,)</f>
        <v>28.106227226471461</v>
      </c>
      <c r="Y29" s="414">
        <f>VLOOKUP($A$4:$A$30,'[3]ANEXO I'!$A$5:$Y$37,15,)</f>
        <v>7955</v>
      </c>
      <c r="Z29" s="415">
        <f>VLOOKUP($A$4:$A$30,'[3]ANEXO I'!$A$5:$Y$37,21,)</f>
        <v>44.387177875549966</v>
      </c>
      <c r="AA29" s="414">
        <f>VLOOKUP($A$4:$A$30,'[3]ANEXO I'!$A$5:$Y$37,24,)</f>
        <v>342251</v>
      </c>
      <c r="AC29" s="389">
        <f>VLOOKUP($A$4:$A$30,'[3]ANEXO XI.II Enc de Contas'!$A$2:$D$32,4,)</f>
        <v>19735.746595175457</v>
      </c>
      <c r="AE29" s="389">
        <f>VLOOKUP($A$4:$A$30,'[4]Demonstrativos 2020'!$A$6:$Y$32,25,)</f>
        <v>38768808.050000004</v>
      </c>
    </row>
    <row r="30" spans="1:36" ht="16.5" thickBot="1" x14ac:dyDescent="0.3">
      <c r="A30" s="411" t="s">
        <v>837</v>
      </c>
      <c r="B30" s="412">
        <f>VLOOKUP($A$4:$A$30,'[3]ANEXO III Anexo IX (100 e 80%)'!$AW$6:$CA$38,7,)</f>
        <v>184562.88</v>
      </c>
      <c r="C30" s="412">
        <f>VLOOKUP($A$4:$A$30,'[3]ANEXO III Anexo IX (100 e 80%)'!$AW$6:$CA$38,8,)</f>
        <v>57922.26</v>
      </c>
      <c r="D30" s="412">
        <f t="shared" si="0"/>
        <v>242485.14</v>
      </c>
      <c r="E30" s="412">
        <f>VLOOKUP($A$4:$A$30,'[3]ANEXO III Anexo IX (100 e 80%)'!$AW$6:$CA$38,17,)</f>
        <v>28268.52</v>
      </c>
      <c r="F30" s="412">
        <f>VLOOKUP($A$4:$A$30,'[3]ANEXO III Anexo IX (100 e 80%)'!$AW$6:$CA$38,18,)</f>
        <v>15518.029999999999</v>
      </c>
      <c r="G30" s="412">
        <f t="shared" si="1"/>
        <v>43786.55</v>
      </c>
      <c r="H30" s="412">
        <f>VLOOKUP($A$4:$A$30,'[3]ANEXO III Anexo IX (100 e 80%)'!$AW$6:$CA$38,25,)</f>
        <v>425259.72</v>
      </c>
      <c r="I30" s="412">
        <f>VLOOKUP($A$4:$A$30,'[3]ANEXO III Anexo IX (100 e 80%)'!$AW$6:$CA$38,31,)</f>
        <v>30867.9</v>
      </c>
      <c r="J30" s="413">
        <f t="shared" si="2"/>
        <v>742399.31</v>
      </c>
      <c r="K30" s="387">
        <f>J30-VLOOKUP($A$4:$A$30,'[3]ANEXO III Anexo IX (100 e 80%)'!$AW$6:$CM$38,43,)</f>
        <v>0</v>
      </c>
      <c r="L30" s="412">
        <f>VLOOKUP($A$4:$A$30,'[3]Anexo X-Aporte FA com exerc.'!$A$4:$C$33,3,)</f>
        <v>15764.137398286275</v>
      </c>
      <c r="M30" s="412">
        <f>VLOOKUP($A$4:$A$30,'[3]Anexo X-Repasse FA com exerc.'!$A$4:$G$17,7,)</f>
        <v>10840</v>
      </c>
      <c r="N30" s="412">
        <f>VLOOKUP($A$4:$A$30,'[3]Anexo X-Repasse FA com exerc.'!$A$4:$H$17,8,)</f>
        <v>434460.48399999994</v>
      </c>
      <c r="P30" s="412">
        <f>VLOOKUP($A$4:$A$30,'[3]ANEXO XI - CSC Total'!$A$3:$F$37,4,)</f>
        <v>48874.73</v>
      </c>
      <c r="Q30" s="412">
        <f>VLOOKUP($A$4:$A$30,'[3]ANEXO XI - CSC Total'!$A$3:$F$37,6,)-P30</f>
        <v>7221.2699999999968</v>
      </c>
      <c r="R30" s="389">
        <f>VLOOKUP($A$4:$A$30,'[3]ANEXO XI - CSC Total'!$A$3:$F$35,3,)+VLOOKUP($A$4:$A$30,'[3]ANEXO XI - CSC Total'!$A$3:$F$35,5,)-Q30</f>
        <v>0</v>
      </c>
      <c r="S30" s="412">
        <f>VLOOKUP($A$4:$A$30,'[3]Anexo XII- SISCAF'!$A$11:$C$31,3,)</f>
        <v>4969.4766</v>
      </c>
      <c r="U30" s="412">
        <f>VLOOKUP($A$4:$A$30,'[3]XIII. TAXAS BANCÁRIAS'!$A$3:$D$33,4,)</f>
        <v>3023.7743043999999</v>
      </c>
      <c r="W30" s="414">
        <f>VLOOKUP($A$4:$A$30,'[3]ANEXO I'!$A$5:$Y$37,3,)</f>
        <v>828</v>
      </c>
      <c r="X30" s="415">
        <f>VLOOKUP($A$4:$A$30,'[3]ANEXO I'!$A$5:$Y$37,12,)</f>
        <v>28.098159509202461</v>
      </c>
      <c r="Y30" s="414">
        <f>VLOOKUP($A$4:$A$30,'[3]ANEXO I'!$A$5:$Y$37,15,)</f>
        <v>206</v>
      </c>
      <c r="Z30" s="415">
        <f>VLOOKUP($A$4:$A$30,'[3]ANEXO I'!$A$5:$Y$37,21,)</f>
        <v>63.592233009708735</v>
      </c>
      <c r="AA30" s="414">
        <f>VLOOKUP($A$4:$A$30,'[3]ANEXO I'!$A$5:$Y$37,24,)</f>
        <v>5427</v>
      </c>
      <c r="AC30" s="389">
        <f>VLOOKUP($A$4:$A$30,'[3]ANEXO XI.II Enc de Contas'!$A$2:$D$32,4,)</f>
        <v>139.85028981021242</v>
      </c>
      <c r="AE30" s="389">
        <f>VLOOKUP($A$4:$A$30,'[4]Demonstrativos 2020'!$A$6:$Y$32,25,)</f>
        <v>863875.25</v>
      </c>
    </row>
    <row r="31" spans="1:36" x14ac:dyDescent="0.25">
      <c r="P31" s="430"/>
      <c r="Q31" s="430"/>
      <c r="U31" s="388">
        <f>SUM(U4:U30)</f>
        <v>563049.83515720011</v>
      </c>
    </row>
    <row r="32" spans="1:36" x14ac:dyDescent="0.25">
      <c r="P32" s="519" t="s">
        <v>838</v>
      </c>
      <c r="Q32" s="519"/>
      <c r="U32" s="388" t="b">
        <f>U31='[5]XIII. TAXAS BANCÁRIAS'!$D$35</f>
        <v>1</v>
      </c>
    </row>
    <row r="33" spans="16:17" x14ac:dyDescent="0.25">
      <c r="P33" s="519"/>
      <c r="Q33" s="519"/>
    </row>
  </sheetData>
  <mergeCells count="19">
    <mergeCell ref="AC2:AC3"/>
    <mergeCell ref="AE2:AE3"/>
    <mergeCell ref="AJ2:AK2"/>
    <mergeCell ref="AJ11:AK11"/>
    <mergeCell ref="P32:Q33"/>
    <mergeCell ref="W1:AA1"/>
    <mergeCell ref="B2:D2"/>
    <mergeCell ref="E2:G2"/>
    <mergeCell ref="H2:H3"/>
    <mergeCell ref="I2:I3"/>
    <mergeCell ref="J2:J3"/>
    <mergeCell ref="W2:X2"/>
    <mergeCell ref="Y2:Z2"/>
    <mergeCell ref="U1:U2"/>
    <mergeCell ref="A1:A3"/>
    <mergeCell ref="B1:J1"/>
    <mergeCell ref="L1:N2"/>
    <mergeCell ref="P1:Q2"/>
    <mergeCell ref="S1:S2"/>
  </mergeCells>
  <dataValidations count="1">
    <dataValidation type="list" allowBlank="1" showInputMessage="1" showErrorMessage="1" sqref="AH2" xr:uid="{00000000-0002-0000-0100-000000000000}">
      <formula1>$A$4:$A$29</formula1>
    </dataValidation>
  </dataValidations>
  <pageMargins left="0.511811024" right="0.511811024" top="0.78740157499999996" bottom="0.78740157499999996" header="0.31496062000000002" footer="0.31496062000000002"/>
  <pageSetup paperSize="9"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777777"/>
  </sheetPr>
  <dimension ref="B1:T1048576"/>
  <sheetViews>
    <sheetView showGridLines="0" workbookViewId="0">
      <selection activeCell="L19" sqref="L19"/>
    </sheetView>
  </sheetViews>
  <sheetFormatPr defaultRowHeight="15" x14ac:dyDescent="0.25"/>
  <cols>
    <col min="1" max="1" width="3.7109375" style="61" customWidth="1"/>
    <col min="2" max="2" width="9.42578125" style="61" customWidth="1"/>
    <col min="3" max="6" width="9.140625" style="61"/>
    <col min="7" max="7" width="13.42578125" style="61" customWidth="1"/>
    <col min="8" max="8" width="9.140625" style="61"/>
    <col min="9" max="9" width="11.5703125" style="61" customWidth="1"/>
    <col min="10" max="18" width="9.140625" style="61"/>
    <col min="19" max="19" width="17.7109375" style="61" customWidth="1"/>
    <col min="20" max="16384" width="9.140625" style="61"/>
  </cols>
  <sheetData>
    <row r="1" spans="2:20" ht="15.75" thickBot="1" x14ac:dyDescent="0.3"/>
    <row r="2" spans="2:20" x14ac:dyDescent="0.25">
      <c r="B2" s="35"/>
      <c r="C2" s="36"/>
      <c r="D2" s="36"/>
      <c r="E2" s="36"/>
      <c r="F2" s="36"/>
      <c r="G2" s="36"/>
      <c r="H2" s="36"/>
      <c r="I2" s="37"/>
      <c r="L2" s="540"/>
      <c r="M2" s="541"/>
      <c r="N2" s="541"/>
      <c r="O2" s="541"/>
      <c r="P2" s="541"/>
      <c r="Q2" s="541"/>
    </row>
    <row r="3" spans="2:20" ht="44.25" customHeight="1" thickBot="1" x14ac:dyDescent="0.3">
      <c r="B3" s="38"/>
      <c r="C3" s="4"/>
      <c r="D3" s="4"/>
      <c r="E3" s="4"/>
      <c r="F3" s="4"/>
      <c r="G3" s="4"/>
      <c r="H3" s="4"/>
      <c r="I3" s="39"/>
      <c r="L3" s="541"/>
      <c r="M3" s="541"/>
      <c r="N3" s="541"/>
      <c r="O3" s="541"/>
      <c r="P3" s="541"/>
      <c r="Q3" s="541"/>
    </row>
    <row r="4" spans="2:20" x14ac:dyDescent="0.25">
      <c r="B4" s="551" t="s">
        <v>211</v>
      </c>
      <c r="C4" s="552"/>
      <c r="D4" s="552"/>
      <c r="E4" s="552"/>
      <c r="F4" s="552"/>
      <c r="G4" s="552"/>
      <c r="H4" s="552"/>
      <c r="I4" s="553"/>
      <c r="L4" s="545" t="s">
        <v>206</v>
      </c>
      <c r="M4" s="546"/>
      <c r="N4" s="546"/>
      <c r="O4" s="546"/>
      <c r="P4" s="546"/>
      <c r="Q4" s="546"/>
      <c r="R4" s="546"/>
      <c r="S4" s="547"/>
    </row>
    <row r="5" spans="2:20" ht="9" customHeight="1" thickBot="1" x14ac:dyDescent="0.3">
      <c r="B5" s="38"/>
      <c r="C5" s="4"/>
      <c r="D5" s="4"/>
      <c r="E5" s="4"/>
      <c r="F5" s="4"/>
      <c r="G5" s="4"/>
      <c r="H5" s="4"/>
      <c r="I5" s="39"/>
      <c r="L5" s="548"/>
      <c r="M5" s="549"/>
      <c r="N5" s="549"/>
      <c r="O5" s="549"/>
      <c r="P5" s="549"/>
      <c r="Q5" s="549"/>
      <c r="R5" s="549"/>
      <c r="S5" s="550"/>
    </row>
    <row r="6" spans="2:20" ht="59.25" customHeight="1" thickBot="1" x14ac:dyDescent="0.3">
      <c r="B6" s="554" t="s">
        <v>303</v>
      </c>
      <c r="C6" s="555"/>
      <c r="D6" s="555"/>
      <c r="E6" s="555"/>
      <c r="F6" s="555"/>
      <c r="G6" s="555"/>
      <c r="H6" s="555"/>
      <c r="I6" s="556"/>
      <c r="L6" s="542" t="s">
        <v>213</v>
      </c>
      <c r="M6" s="543"/>
      <c r="N6" s="543"/>
      <c r="O6" s="543"/>
      <c r="P6" s="543"/>
      <c r="Q6" s="543"/>
      <c r="R6" s="543"/>
      <c r="S6" s="544"/>
    </row>
    <row r="7" spans="2:20" ht="58.5" customHeight="1" thickBot="1" x14ac:dyDescent="0.3">
      <c r="B7" s="520" t="s">
        <v>215</v>
      </c>
      <c r="C7" s="521"/>
      <c r="D7" s="521"/>
      <c r="E7" s="521"/>
      <c r="F7" s="521"/>
      <c r="G7" s="521"/>
      <c r="H7" s="521"/>
      <c r="I7" s="522"/>
      <c r="L7" s="529" t="s">
        <v>214</v>
      </c>
      <c r="M7" s="530"/>
      <c r="N7" s="530"/>
      <c r="O7" s="530"/>
      <c r="P7" s="530"/>
      <c r="Q7" s="530"/>
      <c r="R7" s="530"/>
      <c r="S7" s="531"/>
    </row>
    <row r="8" spans="2:20" ht="36.75" customHeight="1" thickBot="1" x14ac:dyDescent="0.3">
      <c r="B8" s="520" t="s">
        <v>212</v>
      </c>
      <c r="C8" s="521"/>
      <c r="D8" s="521"/>
      <c r="E8" s="521"/>
      <c r="F8" s="521"/>
      <c r="G8" s="521"/>
      <c r="H8" s="521"/>
      <c r="I8" s="522"/>
      <c r="L8" s="523" t="s">
        <v>314</v>
      </c>
      <c r="M8" s="524"/>
      <c r="N8" s="524"/>
      <c r="O8" s="524"/>
      <c r="P8" s="524"/>
      <c r="Q8" s="524"/>
      <c r="R8" s="524"/>
      <c r="S8" s="525"/>
      <c r="T8" s="74"/>
    </row>
    <row r="9" spans="2:20" ht="52.5" customHeight="1" thickBot="1" x14ac:dyDescent="0.3">
      <c r="B9" s="520" t="s">
        <v>95</v>
      </c>
      <c r="C9" s="521"/>
      <c r="D9" s="521"/>
      <c r="E9" s="521"/>
      <c r="F9" s="521"/>
      <c r="G9" s="521"/>
      <c r="H9" s="521"/>
      <c r="I9" s="522"/>
      <c r="L9" s="523" t="s">
        <v>315</v>
      </c>
      <c r="M9" s="524"/>
      <c r="N9" s="524"/>
      <c r="O9" s="524"/>
      <c r="P9" s="524"/>
      <c r="Q9" s="524"/>
      <c r="R9" s="524"/>
      <c r="S9" s="525"/>
    </row>
    <row r="10" spans="2:20" ht="57.75" customHeight="1" thickBot="1" x14ac:dyDescent="0.3">
      <c r="B10" s="535" t="s">
        <v>292</v>
      </c>
      <c r="C10" s="536"/>
      <c r="D10" s="536"/>
      <c r="E10" s="536"/>
      <c r="F10" s="536"/>
      <c r="G10" s="536"/>
      <c r="H10" s="536"/>
      <c r="I10" s="537"/>
    </row>
    <row r="11" spans="2:20" ht="54" customHeight="1" thickBot="1" x14ac:dyDescent="0.3">
      <c r="B11" s="532" t="s">
        <v>302</v>
      </c>
      <c r="C11" s="533"/>
      <c r="D11" s="533"/>
      <c r="E11" s="533"/>
      <c r="F11" s="533"/>
      <c r="G11" s="533"/>
      <c r="H11" s="533"/>
      <c r="I11" s="534"/>
    </row>
    <row r="12" spans="2:20" ht="66" customHeight="1" thickBot="1" x14ac:dyDescent="0.3">
      <c r="B12" s="532" t="s">
        <v>293</v>
      </c>
      <c r="C12" s="533"/>
      <c r="D12" s="533"/>
      <c r="E12" s="533"/>
      <c r="F12" s="533"/>
      <c r="G12" s="533"/>
      <c r="H12" s="533"/>
      <c r="I12" s="534"/>
      <c r="J12" s="538"/>
      <c r="K12" s="539"/>
      <c r="L12" s="539"/>
      <c r="M12" s="539"/>
      <c r="N12" s="539"/>
      <c r="O12" s="539"/>
    </row>
    <row r="13" spans="2:20" ht="15.75" thickBot="1" x14ac:dyDescent="0.3">
      <c r="B13" s="532" t="s">
        <v>294</v>
      </c>
      <c r="C13" s="533"/>
      <c r="D13" s="533"/>
      <c r="E13" s="533"/>
      <c r="F13" s="533"/>
      <c r="G13" s="533"/>
      <c r="H13" s="533"/>
      <c r="I13" s="534"/>
      <c r="J13" s="74"/>
      <c r="K13" s="74"/>
      <c r="L13" s="74"/>
    </row>
    <row r="14" spans="2:20" ht="39.75" hidden="1" customHeight="1" thickBot="1" x14ac:dyDescent="0.3">
      <c r="B14" s="526" t="s">
        <v>295</v>
      </c>
      <c r="C14" s="527"/>
      <c r="D14" s="527"/>
      <c r="E14" s="527"/>
      <c r="F14" s="527"/>
      <c r="G14" s="527"/>
      <c r="H14" s="527"/>
      <c r="I14" s="528"/>
      <c r="J14" s="6"/>
      <c r="K14" s="6"/>
    </row>
    <row r="1048576" hidden="1" x14ac:dyDescent="0.25"/>
  </sheetData>
  <mergeCells count="17">
    <mergeCell ref="L2:Q3"/>
    <mergeCell ref="L6:S6"/>
    <mergeCell ref="L4:S5"/>
    <mergeCell ref="B4:I4"/>
    <mergeCell ref="B6:I6"/>
    <mergeCell ref="B7:I7"/>
    <mergeCell ref="B8:I8"/>
    <mergeCell ref="B9:I9"/>
    <mergeCell ref="L9:S9"/>
    <mergeCell ref="B14:I14"/>
    <mergeCell ref="L7:S7"/>
    <mergeCell ref="L8:S8"/>
    <mergeCell ref="B13:I13"/>
    <mergeCell ref="B11:I11"/>
    <mergeCell ref="B12:I12"/>
    <mergeCell ref="B10:I10"/>
    <mergeCell ref="J12:O12"/>
  </mergeCells>
  <hyperlinks>
    <hyperlink ref="L6:S6" r:id="rId1" display="https://transparencia.caubr.gov.br/resolucao200/" xr:uid="{00000000-0004-0000-0200-000000000000}"/>
    <hyperlink ref="L7:S7" r:id="rId2" location=":~:text=Disp%C3%B5e%20sobre%20anuidades%2C%20revis%C3%A3o%2C%20parcelamento,ativa%20e%20d%C3%A1%20outras%20provid%C3%AAncias." display="RESOLUÇÃO N° 193, DE 24 DE SETEMBRO DE 2020" xr:uid="{00000000-0004-0000-0200-000001000000}"/>
    <hyperlink ref="L8:S8" r:id="rId3" display="Projetos Específicos- DPOBR Nº 0097-08.A/2019" xr:uid="{00000000-0004-0000-0200-000002000000}"/>
    <hyperlink ref="L9:S9" r:id="rId4" display="Projetos Específicos- DPOBR Nº 0084-03/2018" xr:uid="{00000000-0004-0000-0200-000003000000}"/>
  </hyperlinks>
  <pageMargins left="0.511811024" right="0.511811024" top="0.78740157499999996" bottom="0.78740157499999996" header="0.31496062000000002" footer="0.31496062000000002"/>
  <pageSetup paperSize="9" orientation="portrait" verticalDpi="0" r:id="rId5"/>
  <drawing r:id="rId6"/>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777777"/>
    <pageSetUpPr fitToPage="1"/>
  </sheetPr>
  <dimension ref="A1:U52"/>
  <sheetViews>
    <sheetView showGridLines="0" topLeftCell="A13" zoomScaleNormal="100" zoomScaleSheetLayoutView="90" workbookViewId="0">
      <selection activeCell="N26" sqref="N26"/>
    </sheetView>
  </sheetViews>
  <sheetFormatPr defaultRowHeight="15" x14ac:dyDescent="0.25"/>
  <cols>
    <col min="1" max="16384" width="9.140625" style="61"/>
  </cols>
  <sheetData>
    <row r="1" spans="1:21" s="6" customFormat="1" ht="51.75" customHeight="1" x14ac:dyDescent="0.25">
      <c r="A1" s="559" t="s">
        <v>216</v>
      </c>
      <c r="B1" s="559"/>
      <c r="C1" s="559"/>
      <c r="D1" s="559"/>
      <c r="E1" s="559"/>
      <c r="F1" s="559"/>
      <c r="G1" s="559"/>
      <c r="H1" s="559"/>
      <c r="I1" s="559"/>
      <c r="J1" s="559"/>
      <c r="K1" s="559"/>
      <c r="L1" s="560"/>
      <c r="M1" s="560"/>
      <c r="N1" s="560"/>
      <c r="O1" s="560"/>
      <c r="P1" s="560"/>
    </row>
    <row r="2" spans="1:21" ht="36" customHeight="1" x14ac:dyDescent="0.25">
      <c r="A2" s="557" t="s">
        <v>42</v>
      </c>
      <c r="B2" s="558"/>
      <c r="C2" s="558"/>
      <c r="D2" s="558"/>
      <c r="E2" s="558"/>
      <c r="F2" s="558"/>
      <c r="G2" s="558"/>
      <c r="H2" s="558"/>
      <c r="I2" s="558"/>
      <c r="J2" s="558"/>
      <c r="K2" s="558"/>
    </row>
    <row r="3" spans="1:21" ht="15.75" customHeight="1" x14ac:dyDescent="0.25">
      <c r="A3" s="561"/>
      <c r="B3" s="562"/>
      <c r="C3" s="562"/>
      <c r="D3" s="562"/>
      <c r="E3" s="562"/>
      <c r="F3" s="562"/>
      <c r="G3" s="562"/>
      <c r="H3" s="562"/>
      <c r="I3" s="562"/>
      <c r="J3" s="562"/>
      <c r="K3" s="562"/>
      <c r="L3" s="563" t="s">
        <v>217</v>
      </c>
      <c r="M3" s="564"/>
      <c r="N3" s="564"/>
      <c r="O3" s="564"/>
      <c r="P3" s="564"/>
      <c r="Q3" s="564"/>
      <c r="R3" s="564"/>
      <c r="S3" s="564"/>
      <c r="T3" s="564"/>
      <c r="U3" s="564"/>
    </row>
    <row r="4" spans="1:21" ht="15.75" customHeight="1" x14ac:dyDescent="0.25">
      <c r="A4" s="561"/>
      <c r="B4" s="562"/>
      <c r="C4" s="562"/>
      <c r="D4" s="562"/>
      <c r="E4" s="562"/>
      <c r="F4" s="562"/>
      <c r="G4" s="562"/>
      <c r="H4" s="562"/>
      <c r="I4" s="562"/>
      <c r="J4" s="562"/>
      <c r="K4" s="562"/>
      <c r="L4" s="564"/>
      <c r="M4" s="564"/>
      <c r="N4" s="564"/>
      <c r="O4" s="564"/>
      <c r="P4" s="564"/>
      <c r="Q4" s="564"/>
      <c r="R4" s="564"/>
      <c r="S4" s="564"/>
      <c r="T4" s="564"/>
      <c r="U4" s="564"/>
    </row>
    <row r="5" spans="1:21" ht="15.75" customHeight="1" x14ac:dyDescent="0.25">
      <c r="A5" s="561"/>
      <c r="B5" s="562"/>
      <c r="C5" s="562"/>
      <c r="D5" s="562"/>
      <c r="E5" s="562"/>
      <c r="F5" s="562"/>
      <c r="G5" s="562"/>
      <c r="H5" s="562"/>
      <c r="I5" s="562"/>
      <c r="J5" s="562"/>
      <c r="K5" s="562"/>
      <c r="L5" s="564"/>
      <c r="M5" s="564"/>
      <c r="N5" s="564"/>
      <c r="O5" s="564"/>
      <c r="P5" s="564"/>
      <c r="Q5" s="564"/>
      <c r="R5" s="564"/>
      <c r="S5" s="564"/>
      <c r="T5" s="564"/>
      <c r="U5" s="564"/>
    </row>
    <row r="6" spans="1:21" ht="15.75" customHeight="1" x14ac:dyDescent="0.25">
      <c r="A6" s="561"/>
      <c r="B6" s="562"/>
      <c r="C6" s="562"/>
      <c r="D6" s="562"/>
      <c r="E6" s="562"/>
      <c r="F6" s="562"/>
      <c r="G6" s="562"/>
      <c r="H6" s="562"/>
      <c r="I6" s="562"/>
      <c r="J6" s="562"/>
      <c r="K6" s="562"/>
      <c r="L6" s="564"/>
      <c r="M6" s="564"/>
      <c r="N6" s="564"/>
      <c r="O6" s="564"/>
      <c r="P6" s="564"/>
      <c r="Q6" s="564"/>
      <c r="R6" s="564"/>
      <c r="S6" s="564"/>
      <c r="T6" s="564"/>
      <c r="U6" s="564"/>
    </row>
    <row r="7" spans="1:21" ht="15.75" customHeight="1" x14ac:dyDescent="0.25">
      <c r="A7" s="561"/>
      <c r="B7" s="562"/>
      <c r="C7" s="562"/>
      <c r="D7" s="562"/>
      <c r="E7" s="562"/>
      <c r="F7" s="562"/>
      <c r="G7" s="562"/>
      <c r="H7" s="562"/>
      <c r="I7" s="562"/>
      <c r="J7" s="562"/>
      <c r="K7" s="562"/>
      <c r="L7" s="564"/>
      <c r="M7" s="564"/>
      <c r="N7" s="564"/>
      <c r="O7" s="564"/>
      <c r="P7" s="564"/>
      <c r="Q7" s="564"/>
      <c r="R7" s="564"/>
      <c r="S7" s="564"/>
      <c r="T7" s="564"/>
      <c r="U7" s="564"/>
    </row>
    <row r="8" spans="1:21" ht="15.75" customHeight="1" x14ac:dyDescent="0.25">
      <c r="A8" s="561"/>
      <c r="B8" s="562"/>
      <c r="C8" s="562"/>
      <c r="D8" s="562"/>
      <c r="E8" s="562"/>
      <c r="F8" s="562"/>
      <c r="G8" s="562"/>
      <c r="H8" s="562"/>
      <c r="I8" s="562"/>
      <c r="J8" s="562"/>
      <c r="K8" s="562"/>
      <c r="L8" s="564"/>
      <c r="M8" s="564"/>
      <c r="N8" s="564"/>
      <c r="O8" s="564"/>
      <c r="P8" s="564"/>
      <c r="Q8" s="564"/>
      <c r="R8" s="564"/>
      <c r="S8" s="564"/>
      <c r="T8" s="564"/>
      <c r="U8" s="564"/>
    </row>
    <row r="9" spans="1:21" ht="15.75" customHeight="1" x14ac:dyDescent="0.25">
      <c r="A9" s="561"/>
      <c r="B9" s="562"/>
      <c r="C9" s="562"/>
      <c r="D9" s="562"/>
      <c r="E9" s="562"/>
      <c r="F9" s="562"/>
      <c r="G9" s="562"/>
      <c r="H9" s="562"/>
      <c r="I9" s="562"/>
      <c r="J9" s="562"/>
      <c r="K9" s="562"/>
      <c r="L9" s="564"/>
      <c r="M9" s="564"/>
      <c r="N9" s="564"/>
      <c r="O9" s="564"/>
      <c r="P9" s="564"/>
      <c r="Q9" s="564"/>
      <c r="R9" s="564"/>
      <c r="S9" s="564"/>
      <c r="T9" s="564"/>
      <c r="U9" s="564"/>
    </row>
    <row r="10" spans="1:21" ht="15.75" customHeight="1" x14ac:dyDescent="0.25">
      <c r="A10" s="561"/>
      <c r="B10" s="562"/>
      <c r="C10" s="562"/>
      <c r="D10" s="562"/>
      <c r="E10" s="562"/>
      <c r="F10" s="562"/>
      <c r="G10" s="562"/>
      <c r="H10" s="562"/>
      <c r="I10" s="562"/>
      <c r="J10" s="562"/>
      <c r="K10" s="562"/>
      <c r="L10" s="564"/>
      <c r="M10" s="564"/>
      <c r="N10" s="564"/>
      <c r="O10" s="564"/>
      <c r="P10" s="564"/>
      <c r="Q10" s="564"/>
      <c r="R10" s="564"/>
      <c r="S10" s="564"/>
      <c r="T10" s="564"/>
      <c r="U10" s="564"/>
    </row>
    <row r="11" spans="1:21" ht="15.75" customHeight="1" x14ac:dyDescent="0.25">
      <c r="A11" s="561"/>
      <c r="B11" s="562"/>
      <c r="C11" s="562"/>
      <c r="D11" s="562"/>
      <c r="E11" s="562"/>
      <c r="F11" s="562"/>
      <c r="G11" s="562"/>
      <c r="H11" s="562"/>
      <c r="I11" s="562"/>
      <c r="J11" s="562"/>
      <c r="K11" s="562"/>
      <c r="L11" s="564"/>
      <c r="M11" s="564"/>
      <c r="N11" s="564"/>
      <c r="O11" s="564"/>
      <c r="P11" s="564"/>
      <c r="Q11" s="564"/>
      <c r="R11" s="564"/>
      <c r="S11" s="564"/>
      <c r="T11" s="564"/>
      <c r="U11" s="564"/>
    </row>
    <row r="12" spans="1:21" ht="15.75" customHeight="1" x14ac:dyDescent="0.25">
      <c r="A12" s="561"/>
      <c r="B12" s="562"/>
      <c r="C12" s="562"/>
      <c r="D12" s="562"/>
      <c r="E12" s="562"/>
      <c r="F12" s="562"/>
      <c r="G12" s="562"/>
      <c r="H12" s="562"/>
      <c r="I12" s="562"/>
      <c r="J12" s="562"/>
      <c r="K12" s="562"/>
    </row>
    <row r="13" spans="1:21" ht="15.75" customHeight="1" x14ac:dyDescent="0.25">
      <c r="A13" s="561"/>
      <c r="B13" s="562"/>
      <c r="C13" s="562"/>
      <c r="D13" s="562"/>
      <c r="E13" s="562"/>
      <c r="F13" s="562"/>
      <c r="G13" s="562"/>
      <c r="H13" s="562"/>
      <c r="I13" s="562"/>
      <c r="J13" s="562"/>
      <c r="K13" s="562"/>
    </row>
    <row r="14" spans="1:21" ht="15" customHeight="1" x14ac:dyDescent="0.25">
      <c r="A14" s="561"/>
      <c r="B14" s="562"/>
      <c r="C14" s="562"/>
      <c r="D14" s="562"/>
      <c r="E14" s="562"/>
      <c r="F14" s="562"/>
      <c r="G14" s="562"/>
      <c r="H14" s="562"/>
      <c r="I14" s="562"/>
      <c r="J14" s="562"/>
      <c r="K14" s="562"/>
    </row>
    <row r="15" spans="1:21" ht="15.75" customHeight="1" x14ac:dyDescent="0.25">
      <c r="A15" s="561"/>
      <c r="B15" s="562"/>
      <c r="C15" s="562"/>
      <c r="D15" s="562"/>
      <c r="E15" s="562"/>
      <c r="F15" s="562"/>
      <c r="G15" s="562"/>
      <c r="H15" s="562"/>
      <c r="I15" s="562"/>
      <c r="J15" s="562"/>
      <c r="K15" s="562"/>
    </row>
    <row r="16" spans="1:21" ht="15.75" customHeight="1" x14ac:dyDescent="0.25">
      <c r="A16" s="561"/>
      <c r="B16" s="562"/>
      <c r="C16" s="562"/>
      <c r="D16" s="562"/>
      <c r="E16" s="562"/>
      <c r="F16" s="562"/>
      <c r="G16" s="562"/>
      <c r="H16" s="562"/>
      <c r="I16" s="562"/>
      <c r="J16" s="562"/>
      <c r="K16" s="562"/>
    </row>
    <row r="17" spans="1:18" ht="15.75" customHeight="1" x14ac:dyDescent="0.25">
      <c r="A17" s="561"/>
      <c r="B17" s="562"/>
      <c r="C17" s="562"/>
      <c r="D17" s="562"/>
      <c r="E17" s="562"/>
      <c r="F17" s="562"/>
      <c r="G17" s="562"/>
      <c r="H17" s="562"/>
      <c r="I17" s="562"/>
      <c r="J17" s="562"/>
      <c r="K17" s="562"/>
    </row>
    <row r="18" spans="1:18" ht="15.75" customHeight="1" x14ac:dyDescent="0.25">
      <c r="A18" s="561"/>
      <c r="B18" s="562"/>
      <c r="C18" s="562"/>
      <c r="D18" s="562"/>
      <c r="E18" s="562"/>
      <c r="F18" s="562"/>
      <c r="G18" s="562"/>
      <c r="H18" s="562"/>
      <c r="I18" s="562"/>
      <c r="J18" s="562"/>
      <c r="K18" s="562"/>
    </row>
    <row r="19" spans="1:18" ht="15.75" customHeight="1" x14ac:dyDescent="0.25">
      <c r="A19" s="561"/>
      <c r="B19" s="562"/>
      <c r="C19" s="562"/>
      <c r="D19" s="562"/>
      <c r="E19" s="562"/>
      <c r="F19" s="562"/>
      <c r="G19" s="562"/>
      <c r="H19" s="562"/>
      <c r="I19" s="562"/>
      <c r="J19" s="562"/>
      <c r="K19" s="562"/>
    </row>
    <row r="20" spans="1:18" ht="15.75" customHeight="1" x14ac:dyDescent="0.25">
      <c r="A20" s="561"/>
      <c r="B20" s="562"/>
      <c r="C20" s="562"/>
      <c r="D20" s="562"/>
      <c r="E20" s="562"/>
      <c r="F20" s="562"/>
      <c r="G20" s="562"/>
      <c r="H20" s="562"/>
      <c r="I20" s="562"/>
      <c r="J20" s="562"/>
      <c r="K20" s="562"/>
    </row>
    <row r="21" spans="1:18" ht="15.75" customHeight="1" x14ac:dyDescent="0.25">
      <c r="A21" s="561"/>
      <c r="B21" s="562"/>
      <c r="C21" s="562"/>
      <c r="D21" s="562"/>
      <c r="E21" s="562"/>
      <c r="F21" s="562"/>
      <c r="G21" s="562"/>
      <c r="H21" s="562"/>
      <c r="I21" s="562"/>
      <c r="J21" s="562"/>
      <c r="K21" s="562"/>
    </row>
    <row r="22" spans="1:18" ht="15.75" customHeight="1" x14ac:dyDescent="0.25">
      <c r="A22" s="561"/>
      <c r="B22" s="562"/>
      <c r="C22" s="562"/>
      <c r="D22" s="562"/>
      <c r="E22" s="562"/>
      <c r="F22" s="562"/>
      <c r="G22" s="562"/>
      <c r="H22" s="562"/>
      <c r="I22" s="562"/>
      <c r="J22" s="562"/>
      <c r="K22" s="562"/>
    </row>
    <row r="23" spans="1:18" ht="15.75" customHeight="1" x14ac:dyDescent="0.25">
      <c r="A23" s="561"/>
      <c r="B23" s="562"/>
      <c r="C23" s="562"/>
      <c r="D23" s="562"/>
      <c r="E23" s="562"/>
      <c r="F23" s="562"/>
      <c r="G23" s="562"/>
      <c r="H23" s="562"/>
      <c r="I23" s="562"/>
      <c r="J23" s="562"/>
      <c r="K23" s="562"/>
    </row>
    <row r="24" spans="1:18" ht="15" customHeight="1" x14ac:dyDescent="0.25">
      <c r="A24" s="561"/>
      <c r="B24" s="562"/>
      <c r="C24" s="562"/>
      <c r="D24" s="562"/>
      <c r="E24" s="562"/>
      <c r="F24" s="562"/>
      <c r="G24" s="562"/>
      <c r="H24" s="562"/>
      <c r="I24" s="562"/>
      <c r="J24" s="562"/>
      <c r="K24" s="562"/>
    </row>
    <row r="25" spans="1:18" ht="15.75" customHeight="1" x14ac:dyDescent="0.25">
      <c r="A25" s="561"/>
      <c r="B25" s="562"/>
      <c r="C25" s="562"/>
      <c r="D25" s="562"/>
      <c r="E25" s="562"/>
      <c r="F25" s="562"/>
      <c r="G25" s="562"/>
      <c r="H25" s="562"/>
      <c r="I25" s="562"/>
      <c r="J25" s="562"/>
      <c r="K25" s="562"/>
    </row>
    <row r="26" spans="1:18" x14ac:dyDescent="0.25">
      <c r="A26" s="5"/>
      <c r="B26" s="5"/>
      <c r="C26" s="5"/>
      <c r="D26" s="5"/>
      <c r="E26" s="5"/>
      <c r="F26" s="5"/>
      <c r="G26" s="5"/>
      <c r="H26" s="5"/>
      <c r="I26" s="5"/>
      <c r="J26" s="5"/>
      <c r="K26" s="5"/>
      <c r="L26" s="18"/>
      <c r="M26" s="18"/>
      <c r="N26" s="18"/>
      <c r="O26" s="18"/>
      <c r="P26" s="18"/>
      <c r="Q26" s="18"/>
      <c r="R26" s="18"/>
    </row>
    <row r="28" spans="1:18" ht="11.25" customHeight="1" x14ac:dyDescent="0.25">
      <c r="A28" s="1"/>
      <c r="B28" s="1"/>
      <c r="C28" s="1"/>
      <c r="D28" s="1"/>
      <c r="E28" s="1"/>
      <c r="F28" s="1"/>
      <c r="G28" s="1"/>
      <c r="H28" s="1"/>
      <c r="I28" s="1"/>
      <c r="J28" s="1"/>
      <c r="K28" s="1"/>
      <c r="L28" s="1"/>
      <c r="M28" s="1"/>
      <c r="N28" s="1"/>
      <c r="O28" s="1"/>
      <c r="P28" s="1"/>
    </row>
    <row r="29" spans="1:18" ht="36" customHeight="1" x14ac:dyDescent="0.25">
      <c r="A29" s="557" t="s">
        <v>174</v>
      </c>
      <c r="B29" s="558"/>
      <c r="C29" s="558"/>
      <c r="D29" s="558"/>
      <c r="E29" s="558"/>
      <c r="F29" s="558"/>
      <c r="G29" s="558"/>
      <c r="H29" s="558"/>
      <c r="I29" s="558"/>
      <c r="J29" s="558"/>
      <c r="K29" s="558"/>
      <c r="L29" s="1"/>
      <c r="M29" s="1"/>
      <c r="N29" s="1"/>
      <c r="O29" s="1"/>
      <c r="P29" s="1"/>
    </row>
    <row r="31" spans="1:18" ht="8.25" customHeight="1" x14ac:dyDescent="0.25"/>
    <row r="52" ht="24.75" customHeight="1" x14ac:dyDescent="0.25"/>
  </sheetData>
  <mergeCells count="6">
    <mergeCell ref="A29:K29"/>
    <mergeCell ref="A1:K1"/>
    <mergeCell ref="L1:P1"/>
    <mergeCell ref="A2:K2"/>
    <mergeCell ref="A3:K25"/>
    <mergeCell ref="L3:U11"/>
  </mergeCells>
  <pageMargins left="0.511811024" right="0.511811024" top="0.78740157499999996" bottom="0.78740157499999996" header="0.31496062000000002" footer="0.31496062000000002"/>
  <pageSetup paperSize="9" scale="92" fitToHeight="0" orientation="portrait" r:id="rId1"/>
  <drawing r:id="rId2"/>
  <legacyDrawing r:id="rId3"/>
  <oleObjects>
    <mc:AlternateContent xmlns:mc="http://schemas.openxmlformats.org/markup-compatibility/2006">
      <mc:Choice Requires="x14">
        <oleObject progId="PowerPoint.Slide.12" shapeId="35841" r:id="rId4">
          <objectPr defaultSize="0" autoPict="0" r:id="rId5">
            <anchor moveWithCells="1">
              <from>
                <xdr:col>0</xdr:col>
                <xdr:colOff>0</xdr:colOff>
                <xdr:row>2</xdr:row>
                <xdr:rowOff>38100</xdr:rowOff>
              </from>
              <to>
                <xdr:col>10</xdr:col>
                <xdr:colOff>581025</xdr:colOff>
                <xdr:row>26</xdr:row>
                <xdr:rowOff>66675</xdr:rowOff>
              </to>
            </anchor>
          </objectPr>
        </oleObject>
      </mc:Choice>
      <mc:Fallback>
        <oleObject progId="PowerPoint.Slide.12" shapeId="35841" r:id="rId4"/>
      </mc:Fallback>
    </mc:AlternateContent>
  </oleObjec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777777"/>
    <pageSetUpPr fitToPage="1"/>
  </sheetPr>
  <dimension ref="A1:T114"/>
  <sheetViews>
    <sheetView showGridLines="0" tabSelected="1" topLeftCell="C105" zoomScale="50" zoomScaleNormal="50" zoomScaleSheetLayoutView="50" workbookViewId="0">
      <selection activeCell="E110" sqref="E110"/>
    </sheetView>
  </sheetViews>
  <sheetFormatPr defaultRowHeight="21" x14ac:dyDescent="0.35"/>
  <cols>
    <col min="1" max="1" width="85.42578125" style="306" customWidth="1"/>
    <col min="2" max="2" width="112.7109375" style="307" customWidth="1"/>
    <col min="3" max="3" width="11.5703125" style="302" customWidth="1"/>
    <col min="4" max="4" width="33" style="307" customWidth="1"/>
    <col min="5" max="5" width="24.7109375" style="307" customWidth="1"/>
    <col min="6" max="6" width="24.7109375" style="308" customWidth="1"/>
    <col min="7" max="7" width="18.42578125" style="301" hidden="1" customWidth="1"/>
    <col min="8" max="8" width="25.85546875" style="301" hidden="1" customWidth="1"/>
    <col min="9" max="9" width="27" style="301" hidden="1" customWidth="1"/>
    <col min="10" max="12" width="9.140625" style="302"/>
    <col min="13" max="13" width="10.140625" style="302" bestFit="1" customWidth="1"/>
    <col min="14" max="14" width="18.5703125" style="302" bestFit="1" customWidth="1"/>
    <col min="15" max="16384" width="9.140625" style="302"/>
  </cols>
  <sheetData>
    <row r="1" spans="1:20" s="301" customFormat="1" ht="108.75" customHeight="1" x14ac:dyDescent="0.35">
      <c r="A1" s="602" t="s">
        <v>304</v>
      </c>
      <c r="B1" s="603"/>
      <c r="C1" s="603"/>
      <c r="D1" s="603"/>
      <c r="E1" s="603"/>
      <c r="F1" s="603"/>
      <c r="G1" s="300"/>
      <c r="J1" s="302"/>
      <c r="K1" s="302"/>
      <c r="L1" s="302"/>
      <c r="M1" s="302"/>
      <c r="N1" s="302"/>
      <c r="O1" s="302"/>
      <c r="P1" s="302"/>
      <c r="Q1" s="302"/>
      <c r="R1" s="302"/>
      <c r="S1" s="302"/>
    </row>
    <row r="2" spans="1:20" s="301" customFormat="1" ht="45" customHeight="1" x14ac:dyDescent="0.35">
      <c r="A2" s="604" t="s">
        <v>706</v>
      </c>
      <c r="B2" s="604"/>
      <c r="C2" s="604"/>
      <c r="D2" s="604"/>
      <c r="E2" s="604"/>
      <c r="F2" s="604"/>
      <c r="J2" s="302"/>
      <c r="K2" s="302"/>
      <c r="L2" s="302"/>
      <c r="M2" s="302"/>
      <c r="N2" s="302"/>
      <c r="O2" s="302"/>
      <c r="P2" s="302"/>
      <c r="Q2" s="302"/>
      <c r="R2" s="302"/>
      <c r="S2" s="302"/>
    </row>
    <row r="3" spans="1:20" s="301" customFormat="1" ht="45" customHeight="1" x14ac:dyDescent="0.35">
      <c r="A3" s="604" t="s">
        <v>40</v>
      </c>
      <c r="B3" s="604"/>
      <c r="C3" s="604"/>
      <c r="D3" s="604"/>
      <c r="E3" s="604"/>
      <c r="F3" s="604"/>
    </row>
    <row r="4" spans="1:20" s="301" customFormat="1" ht="21" hidden="1" customHeight="1" thickBot="1" x14ac:dyDescent="0.4">
      <c r="A4" s="329"/>
      <c r="B4" s="329"/>
      <c r="C4" s="329"/>
      <c r="D4" s="329"/>
      <c r="E4" s="329"/>
      <c r="F4" s="330"/>
    </row>
    <row r="5" spans="1:20" s="301" customFormat="1" ht="45" customHeight="1" x14ac:dyDescent="0.35">
      <c r="A5" s="601" t="s">
        <v>67</v>
      </c>
      <c r="B5" s="601"/>
      <c r="C5" s="601"/>
      <c r="D5" s="601"/>
      <c r="E5" s="601"/>
      <c r="F5" s="601"/>
      <c r="I5" s="618"/>
      <c r="J5" s="814"/>
      <c r="K5" s="814"/>
      <c r="L5" s="814"/>
      <c r="M5" s="814"/>
      <c r="N5" s="814"/>
      <c r="O5" s="814"/>
      <c r="P5" s="814"/>
      <c r="Q5" s="814"/>
      <c r="R5" s="438"/>
      <c r="S5" s="438"/>
      <c r="T5" s="438"/>
    </row>
    <row r="6" spans="1:20" s="301" customFormat="1" ht="79.5" customHeight="1" x14ac:dyDescent="0.35">
      <c r="A6" s="331" t="s">
        <v>26</v>
      </c>
      <c r="B6" s="578" t="s">
        <v>64</v>
      </c>
      <c r="C6" s="578"/>
      <c r="D6" s="332" t="s">
        <v>65</v>
      </c>
      <c r="E6" s="332" t="s">
        <v>239</v>
      </c>
      <c r="F6" s="332" t="s">
        <v>238</v>
      </c>
      <c r="I6" s="618"/>
      <c r="J6" s="814"/>
      <c r="K6" s="814"/>
      <c r="L6" s="814"/>
      <c r="M6" s="814"/>
      <c r="N6" s="814"/>
      <c r="O6" s="814"/>
      <c r="P6" s="814"/>
      <c r="Q6" s="814"/>
      <c r="R6" s="438"/>
      <c r="S6" s="438"/>
      <c r="T6" s="438"/>
    </row>
    <row r="7" spans="1:20" s="301" customFormat="1" ht="45" customHeight="1" x14ac:dyDescent="0.35">
      <c r="A7" s="598" t="s">
        <v>707</v>
      </c>
      <c r="B7" s="472" t="s">
        <v>841</v>
      </c>
      <c r="C7" s="597" t="s">
        <v>98</v>
      </c>
      <c r="D7" s="597" t="s">
        <v>91</v>
      </c>
      <c r="E7" s="575">
        <v>0.45</v>
      </c>
      <c r="F7" s="576">
        <v>0.45</v>
      </c>
      <c r="G7" s="358" t="b">
        <f>E8='[6]Indicadores e Metas'!$F$8</f>
        <v>1</v>
      </c>
      <c r="H7" s="362">
        <f>384/853</f>
        <v>0.45017584994138338</v>
      </c>
      <c r="I7" s="447"/>
      <c r="J7" s="438"/>
      <c r="K7" s="438"/>
      <c r="L7" s="438"/>
      <c r="M7" s="438"/>
      <c r="N7" s="438"/>
      <c r="O7" s="438"/>
      <c r="P7" s="438"/>
      <c r="Q7" s="438"/>
      <c r="R7" s="438"/>
      <c r="S7" s="438"/>
      <c r="T7" s="438"/>
    </row>
    <row r="8" spans="1:20" s="301" customFormat="1" ht="45" customHeight="1" x14ac:dyDescent="0.35">
      <c r="A8" s="598"/>
      <c r="B8" s="471" t="s">
        <v>842</v>
      </c>
      <c r="C8" s="597"/>
      <c r="D8" s="597"/>
      <c r="E8" s="575"/>
      <c r="F8" s="576"/>
      <c r="I8" s="447"/>
      <c r="J8" s="438"/>
      <c r="K8" s="438"/>
      <c r="L8" s="438"/>
      <c r="M8" s="438"/>
      <c r="N8" s="438"/>
      <c r="O8" s="438"/>
      <c r="P8" s="438"/>
      <c r="Q8" s="438"/>
      <c r="R8" s="438"/>
      <c r="S8" s="438"/>
      <c r="T8" s="438"/>
    </row>
    <row r="9" spans="1:20" s="301" customFormat="1" ht="24" hidden="1" customHeight="1" thickBot="1" x14ac:dyDescent="0.4">
      <c r="A9" s="329"/>
      <c r="B9" s="329"/>
      <c r="C9" s="329"/>
      <c r="D9" s="329"/>
      <c r="E9" s="329"/>
      <c r="F9" s="330"/>
      <c r="I9" s="447"/>
      <c r="J9" s="438"/>
      <c r="K9" s="438"/>
      <c r="L9" s="438"/>
      <c r="M9" s="438"/>
      <c r="N9" s="438"/>
      <c r="O9" s="438"/>
      <c r="P9" s="438"/>
      <c r="Q9" s="438"/>
      <c r="R9" s="438"/>
      <c r="S9" s="438"/>
      <c r="T9" s="438"/>
    </row>
    <row r="10" spans="1:20" s="301" customFormat="1" ht="45" customHeight="1" x14ac:dyDescent="0.35">
      <c r="A10" s="601" t="s">
        <v>66</v>
      </c>
      <c r="B10" s="601"/>
      <c r="C10" s="601"/>
      <c r="D10" s="601"/>
      <c r="E10" s="601"/>
      <c r="F10" s="601"/>
      <c r="I10" s="447"/>
      <c r="J10" s="438"/>
      <c r="K10" s="438"/>
      <c r="L10" s="438"/>
      <c r="M10" s="438"/>
      <c r="N10" s="438"/>
      <c r="O10" s="438"/>
      <c r="P10" s="438"/>
      <c r="Q10" s="438"/>
      <c r="R10" s="438"/>
      <c r="S10" s="438"/>
      <c r="T10" s="438"/>
    </row>
    <row r="11" spans="1:20" s="301" customFormat="1" ht="79.5" customHeight="1" x14ac:dyDescent="0.35">
      <c r="A11" s="331" t="s">
        <v>27</v>
      </c>
      <c r="B11" s="578" t="s">
        <v>64</v>
      </c>
      <c r="C11" s="578"/>
      <c r="D11" s="332" t="s">
        <v>65</v>
      </c>
      <c r="E11" s="332" t="s">
        <v>239</v>
      </c>
      <c r="F11" s="332" t="s">
        <v>238</v>
      </c>
      <c r="J11" s="302"/>
      <c r="K11" s="302"/>
      <c r="L11" s="302"/>
      <c r="M11" s="302"/>
      <c r="N11" s="302"/>
      <c r="O11" s="302"/>
      <c r="P11" s="302"/>
      <c r="Q11" s="302"/>
      <c r="R11" s="302"/>
      <c r="S11" s="302"/>
    </row>
    <row r="12" spans="1:20" s="301" customFormat="1" ht="45" customHeight="1" x14ac:dyDescent="0.35">
      <c r="A12" s="598" t="s">
        <v>708</v>
      </c>
      <c r="B12" s="472" t="s">
        <v>843</v>
      </c>
      <c r="C12" s="597" t="s">
        <v>98</v>
      </c>
      <c r="D12" s="597" t="s">
        <v>218</v>
      </c>
      <c r="E12" s="595">
        <v>0.85</v>
      </c>
      <c r="F12" s="586">
        <v>0.5</v>
      </c>
      <c r="G12" s="358" t="b">
        <f>E13='[6]Indicadores e Metas'!F11:F12</f>
        <v>1</v>
      </c>
      <c r="J12" s="302"/>
      <c r="K12" s="302"/>
      <c r="L12" s="302"/>
      <c r="M12" s="565"/>
      <c r="N12" s="302"/>
      <c r="O12" s="302"/>
      <c r="P12" s="302"/>
      <c r="Q12" s="302"/>
      <c r="R12" s="302"/>
      <c r="S12" s="302"/>
    </row>
    <row r="13" spans="1:20" s="301" customFormat="1" ht="45" customHeight="1" x14ac:dyDescent="0.35">
      <c r="A13" s="598"/>
      <c r="B13" s="471" t="s">
        <v>844</v>
      </c>
      <c r="C13" s="597"/>
      <c r="D13" s="597"/>
      <c r="E13" s="595"/>
      <c r="F13" s="586"/>
      <c r="G13" s="358"/>
      <c r="H13" s="362">
        <f>699/1400</f>
        <v>0.49928571428571428</v>
      </c>
      <c r="J13" s="302"/>
      <c r="K13" s="302"/>
      <c r="L13" s="302"/>
      <c r="M13" s="565"/>
      <c r="N13" s="302"/>
      <c r="O13" s="302"/>
      <c r="P13" s="302"/>
      <c r="Q13" s="302"/>
      <c r="R13" s="302"/>
      <c r="S13" s="302"/>
    </row>
    <row r="14" spans="1:20" s="301" customFormat="1" ht="45" customHeight="1" x14ac:dyDescent="0.35">
      <c r="A14" s="598" t="s">
        <v>709</v>
      </c>
      <c r="B14" s="472" t="s">
        <v>845</v>
      </c>
      <c r="C14" s="597" t="s">
        <v>98</v>
      </c>
      <c r="D14" s="597" t="s">
        <v>218</v>
      </c>
      <c r="E14" s="595">
        <v>0.5</v>
      </c>
      <c r="F14" s="586">
        <v>0.02</v>
      </c>
      <c r="G14" s="358" t="b">
        <f>E15='[6]Indicadores e Metas'!F13:F14</f>
        <v>1</v>
      </c>
      <c r="J14" s="302"/>
      <c r="K14" s="302"/>
      <c r="L14" s="302"/>
      <c r="M14" s="565"/>
      <c r="N14" s="302"/>
      <c r="O14" s="302"/>
      <c r="P14" s="302"/>
      <c r="Q14" s="302"/>
      <c r="R14" s="302"/>
      <c r="S14" s="302"/>
    </row>
    <row r="15" spans="1:20" s="301" customFormat="1" ht="45" customHeight="1" x14ac:dyDescent="0.35">
      <c r="A15" s="598"/>
      <c r="B15" s="471" t="s">
        <v>846</v>
      </c>
      <c r="C15" s="597"/>
      <c r="D15" s="597"/>
      <c r="E15" s="595"/>
      <c r="F15" s="586"/>
      <c r="G15" s="358"/>
      <c r="H15" s="362">
        <f>14/696</f>
        <v>2.0114942528735632E-2</v>
      </c>
      <c r="J15" s="302"/>
      <c r="K15" s="302"/>
      <c r="L15" s="302"/>
      <c r="M15" s="565"/>
      <c r="N15" s="302"/>
      <c r="O15" s="302"/>
      <c r="P15" s="302"/>
      <c r="Q15" s="302"/>
      <c r="R15" s="302"/>
      <c r="S15" s="302"/>
    </row>
    <row r="16" spans="1:20" s="301" customFormat="1" ht="45" customHeight="1" x14ac:dyDescent="0.35">
      <c r="A16" s="598" t="s">
        <v>710</v>
      </c>
      <c r="B16" s="600" t="s">
        <v>903</v>
      </c>
      <c r="C16" s="600"/>
      <c r="D16" s="597" t="s">
        <v>218</v>
      </c>
      <c r="E16" s="595">
        <v>0.15</v>
      </c>
      <c r="F16" s="813">
        <v>0.22</v>
      </c>
      <c r="G16" s="358" t="b">
        <f>E17='[6]Indicadores e Metas'!F15:F16</f>
        <v>1</v>
      </c>
      <c r="H16" s="497">
        <f>(56243/12)/16767</f>
        <v>0.27953221605932288</v>
      </c>
      <c r="I16" s="301" t="s">
        <v>901</v>
      </c>
      <c r="J16" s="302"/>
      <c r="K16" s="302"/>
      <c r="L16" s="302"/>
      <c r="M16" s="566"/>
      <c r="N16" s="302"/>
      <c r="O16" s="302"/>
      <c r="P16" s="302"/>
      <c r="Q16" s="302"/>
      <c r="R16" s="302"/>
      <c r="S16" s="302"/>
    </row>
    <row r="17" spans="1:19" s="301" customFormat="1" ht="45" customHeight="1" x14ac:dyDescent="0.35">
      <c r="A17" s="598"/>
      <c r="B17" s="599" t="s">
        <v>847</v>
      </c>
      <c r="C17" s="599"/>
      <c r="D17" s="597"/>
      <c r="E17" s="595"/>
      <c r="F17" s="813"/>
      <c r="G17" s="358"/>
      <c r="H17" s="499" t="s">
        <v>905</v>
      </c>
      <c r="J17" s="302"/>
      <c r="K17" s="302"/>
      <c r="L17" s="302"/>
      <c r="M17" s="566"/>
      <c r="N17" s="302"/>
      <c r="O17" s="302"/>
      <c r="P17" s="302"/>
      <c r="Q17" s="302"/>
      <c r="R17" s="302"/>
      <c r="S17" s="302"/>
    </row>
    <row r="18" spans="1:19" s="301" customFormat="1" ht="45" customHeight="1" x14ac:dyDescent="0.35">
      <c r="A18" s="598" t="s">
        <v>711</v>
      </c>
      <c r="B18" s="472" t="s">
        <v>848</v>
      </c>
      <c r="C18" s="597" t="s">
        <v>98</v>
      </c>
      <c r="D18" s="597" t="s">
        <v>218</v>
      </c>
      <c r="E18" s="595">
        <v>0.6</v>
      </c>
      <c r="F18" s="586">
        <v>0.5</v>
      </c>
      <c r="G18" s="358" t="b">
        <f>E19='[6]Indicadores e Metas'!F17:F18</f>
        <v>1</v>
      </c>
      <c r="J18" s="302"/>
      <c r="K18" s="302"/>
      <c r="L18" s="302"/>
      <c r="M18" s="565"/>
      <c r="N18" s="302"/>
      <c r="O18" s="302"/>
      <c r="P18" s="302"/>
      <c r="Q18" s="302"/>
      <c r="R18" s="302"/>
      <c r="S18" s="302"/>
    </row>
    <row r="19" spans="1:19" s="301" customFormat="1" ht="45" customHeight="1" x14ac:dyDescent="0.35">
      <c r="A19" s="598"/>
      <c r="B19" s="471" t="s">
        <v>849</v>
      </c>
      <c r="C19" s="597"/>
      <c r="D19" s="597"/>
      <c r="E19" s="595"/>
      <c r="F19" s="586"/>
      <c r="G19" s="358"/>
      <c r="H19" s="434">
        <f>180/355</f>
        <v>0.50704225352112675</v>
      </c>
      <c r="J19" s="302"/>
      <c r="K19" s="302"/>
      <c r="L19" s="302"/>
      <c r="M19" s="565"/>
      <c r="N19" s="302"/>
      <c r="O19" s="302"/>
      <c r="P19" s="302"/>
      <c r="Q19" s="302"/>
      <c r="R19" s="302"/>
      <c r="S19" s="302"/>
    </row>
    <row r="20" spans="1:19" s="301" customFormat="1" ht="45" customHeight="1" x14ac:dyDescent="0.35">
      <c r="A20" s="598" t="s">
        <v>712</v>
      </c>
      <c r="B20" s="472" t="s">
        <v>850</v>
      </c>
      <c r="C20" s="597" t="s">
        <v>98</v>
      </c>
      <c r="D20" s="597" t="s">
        <v>100</v>
      </c>
      <c r="E20" s="595">
        <v>0.5</v>
      </c>
      <c r="F20" s="586">
        <v>0.2</v>
      </c>
      <c r="G20" s="358" t="b">
        <f>E21='[6]Indicadores e Metas'!F19:F20</f>
        <v>1</v>
      </c>
      <c r="J20" s="302"/>
      <c r="K20" s="302"/>
      <c r="L20" s="302"/>
      <c r="M20" s="565"/>
      <c r="N20" s="302"/>
      <c r="O20" s="302"/>
      <c r="P20" s="302"/>
      <c r="Q20" s="302"/>
      <c r="R20" s="302"/>
      <c r="S20" s="302"/>
    </row>
    <row r="21" spans="1:19" s="301" customFormat="1" ht="45" customHeight="1" x14ac:dyDescent="0.35">
      <c r="A21" s="598"/>
      <c r="B21" s="471" t="s">
        <v>851</v>
      </c>
      <c r="C21" s="597"/>
      <c r="D21" s="597"/>
      <c r="E21" s="595"/>
      <c r="F21" s="586"/>
      <c r="G21" s="358"/>
      <c r="H21" s="301">
        <f>280/1400</f>
        <v>0.2</v>
      </c>
      <c r="J21" s="302"/>
      <c r="K21" s="302"/>
      <c r="L21" s="302"/>
      <c r="M21" s="565"/>
      <c r="N21" s="302"/>
      <c r="O21" s="302"/>
      <c r="P21" s="302"/>
      <c r="Q21" s="302"/>
      <c r="R21" s="302"/>
      <c r="S21" s="302"/>
    </row>
    <row r="22" spans="1:19" s="301" customFormat="1" ht="45" customHeight="1" x14ac:dyDescent="0.35">
      <c r="A22" s="598" t="s">
        <v>713</v>
      </c>
      <c r="B22" s="472" t="s">
        <v>852</v>
      </c>
      <c r="C22" s="597" t="s">
        <v>98</v>
      </c>
      <c r="D22" s="597" t="s">
        <v>100</v>
      </c>
      <c r="E22" s="595">
        <v>0.9</v>
      </c>
      <c r="F22" s="595">
        <v>0.9</v>
      </c>
      <c r="G22" s="358" t="b">
        <f>E23='[6]Indicadores e Metas'!F21:F22</f>
        <v>1</v>
      </c>
      <c r="J22" s="302"/>
      <c r="K22" s="302"/>
      <c r="L22" s="302"/>
      <c r="M22" s="567"/>
      <c r="N22" s="302"/>
      <c r="O22" s="302"/>
      <c r="P22" s="302"/>
      <c r="Q22" s="302"/>
      <c r="R22" s="302"/>
      <c r="S22" s="302"/>
    </row>
    <row r="23" spans="1:19" s="301" customFormat="1" ht="45" customHeight="1" x14ac:dyDescent="0.35">
      <c r="A23" s="598"/>
      <c r="B23" s="471" t="s">
        <v>853</v>
      </c>
      <c r="C23" s="597"/>
      <c r="D23" s="597"/>
      <c r="E23" s="595"/>
      <c r="F23" s="595"/>
      <c r="G23" s="358"/>
      <c r="H23" s="434">
        <f>13/15</f>
        <v>0.8666666666666667</v>
      </c>
      <c r="J23" s="302"/>
      <c r="K23" s="302"/>
      <c r="L23" s="302"/>
      <c r="M23" s="567"/>
      <c r="N23" s="302"/>
      <c r="O23" s="302"/>
      <c r="P23" s="302"/>
      <c r="Q23" s="302"/>
      <c r="R23" s="302"/>
      <c r="S23" s="302"/>
    </row>
    <row r="24" spans="1:19" s="301" customFormat="1" ht="45" customHeight="1" x14ac:dyDescent="0.35">
      <c r="A24" s="598" t="s">
        <v>714</v>
      </c>
      <c r="B24" s="472" t="s">
        <v>854</v>
      </c>
      <c r="C24" s="597" t="s">
        <v>98</v>
      </c>
      <c r="D24" s="597" t="s">
        <v>99</v>
      </c>
      <c r="E24" s="595">
        <v>0.15</v>
      </c>
      <c r="F24" s="586">
        <v>0.15</v>
      </c>
      <c r="G24" s="358" t="b">
        <f>E25='[6]Indicadores e Metas'!F23:F24</f>
        <v>1</v>
      </c>
      <c r="J24" s="302"/>
      <c r="K24" s="302"/>
      <c r="L24" s="302"/>
      <c r="M24" s="565"/>
      <c r="N24" s="302"/>
      <c r="O24" s="302"/>
      <c r="P24" s="302"/>
      <c r="Q24" s="302"/>
      <c r="R24" s="302"/>
      <c r="S24" s="302"/>
    </row>
    <row r="25" spans="1:19" s="301" customFormat="1" ht="45" customHeight="1" x14ac:dyDescent="0.35">
      <c r="A25" s="598"/>
      <c r="B25" s="471" t="s">
        <v>855</v>
      </c>
      <c r="C25" s="597"/>
      <c r="D25" s="597"/>
      <c r="E25" s="595"/>
      <c r="F25" s="586"/>
      <c r="G25" s="358"/>
      <c r="H25" s="362">
        <f>696/4440</f>
        <v>0.15675675675675677</v>
      </c>
      <c r="J25" s="302"/>
      <c r="K25" s="302"/>
      <c r="L25" s="302"/>
      <c r="M25" s="565"/>
      <c r="N25" s="302"/>
      <c r="O25" s="302"/>
      <c r="P25" s="302"/>
      <c r="Q25" s="302"/>
      <c r="R25" s="302"/>
      <c r="S25" s="302"/>
    </row>
    <row r="26" spans="1:19" s="301" customFormat="1" ht="45" customHeight="1" x14ac:dyDescent="0.35">
      <c r="A26" s="598" t="s">
        <v>715</v>
      </c>
      <c r="B26" s="472" t="s">
        <v>856</v>
      </c>
      <c r="C26" s="597" t="s">
        <v>98</v>
      </c>
      <c r="D26" s="597" t="s">
        <v>99</v>
      </c>
      <c r="E26" s="595">
        <v>0.03</v>
      </c>
      <c r="F26" s="586">
        <v>7.1400000000000005E-2</v>
      </c>
      <c r="G26" s="358" t="b">
        <f>E27='[6]Indicadores e Metas'!F25:F26</f>
        <v>1</v>
      </c>
      <c r="J26" s="302"/>
      <c r="K26" s="302"/>
      <c r="L26" s="302"/>
      <c r="M26" s="568"/>
      <c r="N26" s="302"/>
      <c r="O26" s="302"/>
      <c r="P26" s="302"/>
      <c r="Q26" s="302"/>
      <c r="R26" s="302"/>
      <c r="S26" s="302"/>
    </row>
    <row r="27" spans="1:19" s="301" customFormat="1" ht="45" customHeight="1" x14ac:dyDescent="0.35">
      <c r="A27" s="598"/>
      <c r="B27" s="471" t="s">
        <v>845</v>
      </c>
      <c r="C27" s="597"/>
      <c r="D27" s="597"/>
      <c r="E27" s="595"/>
      <c r="F27" s="586"/>
      <c r="G27" s="358"/>
      <c r="H27" s="362">
        <f>1/14</f>
        <v>7.1428571428571425E-2</v>
      </c>
      <c r="J27" s="302"/>
      <c r="K27" s="302"/>
      <c r="L27" s="302"/>
      <c r="M27" s="568"/>
      <c r="N27" s="302"/>
      <c r="O27" s="302"/>
      <c r="P27" s="302"/>
      <c r="Q27" s="302"/>
      <c r="R27" s="302"/>
      <c r="S27" s="302"/>
    </row>
    <row r="28" spans="1:19" s="301" customFormat="1" ht="45" customHeight="1" x14ac:dyDescent="0.35">
      <c r="A28" s="598" t="s">
        <v>716</v>
      </c>
      <c r="B28" s="472" t="s">
        <v>857</v>
      </c>
      <c r="C28" s="597" t="s">
        <v>98</v>
      </c>
      <c r="D28" s="597" t="s">
        <v>99</v>
      </c>
      <c r="E28" s="595">
        <v>0.3</v>
      </c>
      <c r="F28" s="590">
        <v>0.108</v>
      </c>
      <c r="G28" s="358" t="b">
        <f>E29='[6]Indicadores e Metas'!F27:F28</f>
        <v>1</v>
      </c>
      <c r="J28" s="302"/>
      <c r="K28" s="302"/>
      <c r="L28" s="302"/>
      <c r="M28" s="568"/>
      <c r="N28" s="302"/>
      <c r="O28" s="302"/>
      <c r="P28" s="302"/>
      <c r="Q28" s="302"/>
      <c r="R28" s="302"/>
      <c r="S28" s="302"/>
    </row>
    <row r="29" spans="1:19" s="301" customFormat="1" ht="45" customHeight="1" x14ac:dyDescent="0.35">
      <c r="A29" s="598"/>
      <c r="B29" s="471" t="s">
        <v>858</v>
      </c>
      <c r="C29" s="597"/>
      <c r="D29" s="597"/>
      <c r="E29" s="595"/>
      <c r="F29" s="590"/>
      <c r="G29" s="358"/>
      <c r="H29" s="362">
        <f>4/37</f>
        <v>0.10810810810810811</v>
      </c>
      <c r="J29" s="302"/>
      <c r="K29" s="302"/>
      <c r="L29" s="302"/>
      <c r="M29" s="568"/>
      <c r="N29" s="302"/>
      <c r="O29" s="302"/>
      <c r="P29" s="302"/>
      <c r="Q29" s="302"/>
      <c r="R29" s="302"/>
      <c r="S29" s="302"/>
    </row>
    <row r="30" spans="1:19" s="301" customFormat="1" ht="45" customHeight="1" x14ac:dyDescent="0.35">
      <c r="A30" s="598" t="s">
        <v>717</v>
      </c>
      <c r="B30" s="472" t="s">
        <v>859</v>
      </c>
      <c r="C30" s="597" t="s">
        <v>98</v>
      </c>
      <c r="D30" s="597" t="s">
        <v>99</v>
      </c>
      <c r="E30" s="595">
        <v>0.75</v>
      </c>
      <c r="F30" s="586">
        <v>0.75</v>
      </c>
      <c r="G30" s="358" t="b">
        <f>E31=-'[6]Indicadores e Metas'!F29:F30</f>
        <v>1</v>
      </c>
      <c r="J30" s="302"/>
      <c r="K30" s="302"/>
      <c r="L30" s="302"/>
      <c r="M30" s="565"/>
      <c r="N30" s="302"/>
      <c r="O30" s="302"/>
      <c r="P30" s="302"/>
      <c r="Q30" s="302"/>
      <c r="R30" s="302"/>
      <c r="S30" s="302"/>
    </row>
    <row r="31" spans="1:19" s="301" customFormat="1" ht="45" customHeight="1" x14ac:dyDescent="0.35">
      <c r="A31" s="598"/>
      <c r="B31" s="471" t="s">
        <v>860</v>
      </c>
      <c r="C31" s="597"/>
      <c r="D31" s="597"/>
      <c r="E31" s="595"/>
      <c r="F31" s="586"/>
      <c r="G31" s="358"/>
      <c r="H31" s="301">
        <f>3/4</f>
        <v>0.75</v>
      </c>
      <c r="J31" s="302"/>
      <c r="K31" s="302"/>
      <c r="L31" s="302"/>
      <c r="M31" s="565"/>
      <c r="N31" s="302"/>
      <c r="O31" s="302"/>
      <c r="P31" s="302"/>
      <c r="Q31" s="302"/>
      <c r="R31" s="302"/>
      <c r="S31" s="302"/>
    </row>
    <row r="32" spans="1:19" s="301" customFormat="1" ht="79.5" customHeight="1" x14ac:dyDescent="0.35">
      <c r="A32" s="331" t="s">
        <v>28</v>
      </c>
      <c r="B32" s="578" t="s">
        <v>64</v>
      </c>
      <c r="C32" s="578"/>
      <c r="D32" s="332" t="s">
        <v>65</v>
      </c>
      <c r="E32" s="332" t="s">
        <v>239</v>
      </c>
      <c r="F32" s="332" t="s">
        <v>238</v>
      </c>
      <c r="J32" s="302"/>
      <c r="K32" s="302"/>
      <c r="L32" s="302"/>
      <c r="M32" s="302"/>
      <c r="N32" s="302"/>
      <c r="O32" s="302"/>
      <c r="P32" s="302"/>
      <c r="Q32" s="302"/>
      <c r="R32" s="302"/>
      <c r="S32" s="302"/>
    </row>
    <row r="33" spans="1:19" s="301" customFormat="1" ht="45" customHeight="1" x14ac:dyDescent="0.35">
      <c r="A33" s="598" t="s">
        <v>718</v>
      </c>
      <c r="B33" s="472" t="s">
        <v>861</v>
      </c>
      <c r="C33" s="597" t="s">
        <v>98</v>
      </c>
      <c r="D33" s="597" t="s">
        <v>92</v>
      </c>
      <c r="E33" s="595">
        <v>1</v>
      </c>
      <c r="F33" s="586">
        <v>1</v>
      </c>
      <c r="G33" s="358" t="b">
        <f>E34='[6]Indicadores e Metas'!F32:F33</f>
        <v>1</v>
      </c>
      <c r="J33" s="302"/>
      <c r="K33" s="302"/>
      <c r="L33" s="302"/>
      <c r="M33" s="302"/>
      <c r="N33" s="302"/>
      <c r="O33" s="302"/>
      <c r="P33" s="302"/>
      <c r="Q33" s="302"/>
      <c r="R33" s="302"/>
      <c r="S33" s="302"/>
    </row>
    <row r="34" spans="1:19" s="301" customFormat="1" ht="45" customHeight="1" x14ac:dyDescent="0.35">
      <c r="A34" s="598"/>
      <c r="B34" s="471" t="s">
        <v>862</v>
      </c>
      <c r="C34" s="597"/>
      <c r="D34" s="597"/>
      <c r="E34" s="595"/>
      <c r="F34" s="586"/>
      <c r="G34" s="358"/>
      <c r="H34" s="301">
        <f>23865/23865</f>
        <v>1</v>
      </c>
      <c r="J34" s="302"/>
      <c r="K34" s="302"/>
      <c r="L34" s="302"/>
      <c r="M34" s="302"/>
      <c r="N34" s="302"/>
      <c r="O34" s="302"/>
      <c r="P34" s="302"/>
      <c r="Q34" s="302"/>
      <c r="R34" s="302"/>
      <c r="S34" s="302"/>
    </row>
    <row r="35" spans="1:19" s="301" customFormat="1" ht="45" customHeight="1" x14ac:dyDescent="0.35">
      <c r="A35" s="598" t="s">
        <v>719</v>
      </c>
      <c r="B35" s="472" t="s">
        <v>863</v>
      </c>
      <c r="C35" s="597" t="s">
        <v>98</v>
      </c>
      <c r="D35" s="597" t="s">
        <v>92</v>
      </c>
      <c r="E35" s="595">
        <v>0.9</v>
      </c>
      <c r="F35" s="586">
        <v>0.9</v>
      </c>
      <c r="G35" s="358" t="b">
        <f>E36='[6]Indicadores e Metas'!F34:F35</f>
        <v>1</v>
      </c>
      <c r="J35" s="302"/>
      <c r="K35" s="302"/>
      <c r="L35" s="302"/>
      <c r="M35" s="302"/>
      <c r="N35" s="302"/>
      <c r="O35" s="302"/>
      <c r="P35" s="302"/>
      <c r="Q35" s="302"/>
      <c r="R35" s="302"/>
      <c r="S35" s="302"/>
    </row>
    <row r="36" spans="1:19" s="301" customFormat="1" ht="45" customHeight="1" x14ac:dyDescent="0.35">
      <c r="A36" s="598"/>
      <c r="B36" s="471" t="s">
        <v>864</v>
      </c>
      <c r="C36" s="597"/>
      <c r="D36" s="597"/>
      <c r="E36" s="595"/>
      <c r="F36" s="586"/>
      <c r="G36" s="358"/>
      <c r="H36" s="434">
        <f>1754/1950</f>
        <v>0.89948717948717949</v>
      </c>
      <c r="J36" s="302"/>
      <c r="K36" s="302"/>
      <c r="L36" s="302"/>
      <c r="M36" s="302"/>
      <c r="N36" s="302"/>
      <c r="O36" s="302"/>
      <c r="P36" s="302"/>
      <c r="Q36" s="302"/>
      <c r="R36" s="302"/>
      <c r="S36" s="302"/>
    </row>
    <row r="37" spans="1:19" s="301" customFormat="1" ht="45" customHeight="1" x14ac:dyDescent="0.35">
      <c r="A37" s="598" t="s">
        <v>720</v>
      </c>
      <c r="B37" s="472" t="s">
        <v>219</v>
      </c>
      <c r="C37" s="597" t="s">
        <v>98</v>
      </c>
      <c r="D37" s="597" t="s">
        <v>92</v>
      </c>
      <c r="E37" s="595" t="s">
        <v>705</v>
      </c>
      <c r="F37" s="595" t="s">
        <v>705</v>
      </c>
      <c r="G37" s="358" t="b">
        <f>E38='[6]Indicadores e Metas'!$F$36:$F$37</f>
        <v>1</v>
      </c>
      <c r="J37" s="302"/>
      <c r="K37" s="302"/>
      <c r="L37" s="302"/>
      <c r="M37" s="302"/>
      <c r="N37" s="302"/>
      <c r="O37" s="302"/>
      <c r="P37" s="302"/>
      <c r="Q37" s="302"/>
      <c r="R37" s="302"/>
      <c r="S37" s="302"/>
    </row>
    <row r="38" spans="1:19" s="301" customFormat="1" ht="45" customHeight="1" x14ac:dyDescent="0.35">
      <c r="A38" s="598"/>
      <c r="B38" s="471" t="s">
        <v>220</v>
      </c>
      <c r="C38" s="597"/>
      <c r="D38" s="597"/>
      <c r="E38" s="595"/>
      <c r="F38" s="595"/>
      <c r="G38" s="358"/>
      <c r="J38" s="302"/>
      <c r="K38" s="302"/>
      <c r="L38" s="302"/>
      <c r="M38" s="302"/>
      <c r="N38" s="302"/>
      <c r="O38" s="302"/>
      <c r="P38" s="302"/>
      <c r="Q38" s="302"/>
      <c r="R38" s="302"/>
      <c r="S38" s="302"/>
    </row>
    <row r="39" spans="1:19" s="301" customFormat="1" ht="79.5" customHeight="1" x14ac:dyDescent="0.35">
      <c r="A39" s="331" t="s">
        <v>29</v>
      </c>
      <c r="B39" s="578" t="s">
        <v>64</v>
      </c>
      <c r="C39" s="578"/>
      <c r="D39" s="332" t="s">
        <v>65</v>
      </c>
      <c r="E39" s="332" t="s">
        <v>239</v>
      </c>
      <c r="F39" s="332" t="s">
        <v>238</v>
      </c>
      <c r="J39" s="302"/>
      <c r="K39" s="302"/>
      <c r="L39" s="302"/>
      <c r="M39" s="302"/>
      <c r="N39" s="302"/>
      <c r="O39" s="302"/>
      <c r="P39" s="302"/>
      <c r="Q39" s="302"/>
      <c r="R39" s="302"/>
      <c r="S39" s="302"/>
    </row>
    <row r="40" spans="1:19" s="301" customFormat="1" ht="45" customHeight="1" x14ac:dyDescent="0.35">
      <c r="A40" s="572" t="s">
        <v>721</v>
      </c>
      <c r="B40" s="469" t="s">
        <v>865</v>
      </c>
      <c r="C40" s="597" t="s">
        <v>98</v>
      </c>
      <c r="D40" s="573" t="s">
        <v>221</v>
      </c>
      <c r="E40" s="585">
        <f>250000/10359139</f>
        <v>2.4133279802500962E-2</v>
      </c>
      <c r="F40" s="576">
        <v>0.7944</v>
      </c>
      <c r="G40" s="358" t="b">
        <f>E41='[6]Indicadores e Metas'!$F$39:$F$40</f>
        <v>1</v>
      </c>
      <c r="J40" s="302"/>
      <c r="K40" s="302"/>
      <c r="L40" s="302"/>
      <c r="M40" s="302"/>
      <c r="N40" s="302"/>
      <c r="O40" s="302"/>
      <c r="P40" s="302"/>
      <c r="Q40" s="302"/>
      <c r="R40" s="302"/>
      <c r="S40" s="302"/>
    </row>
    <row r="41" spans="1:19" s="301" customFormat="1" ht="45" customHeight="1" x14ac:dyDescent="0.35">
      <c r="A41" s="572"/>
      <c r="B41" s="470" t="s">
        <v>866</v>
      </c>
      <c r="C41" s="597"/>
      <c r="D41" s="573"/>
      <c r="E41" s="585"/>
      <c r="F41" s="576"/>
      <c r="H41" s="301">
        <f>571012/722800</f>
        <v>0.79</v>
      </c>
      <c r="J41" s="302"/>
      <c r="K41" s="302"/>
      <c r="L41" s="302"/>
      <c r="M41" s="302"/>
      <c r="N41" s="302"/>
      <c r="O41" s="302"/>
      <c r="P41" s="302"/>
      <c r="Q41" s="302"/>
      <c r="R41" s="302"/>
      <c r="S41" s="302"/>
    </row>
    <row r="42" spans="1:19" s="301" customFormat="1" ht="45" customHeight="1" x14ac:dyDescent="0.35">
      <c r="A42" s="572" t="s">
        <v>722</v>
      </c>
      <c r="B42" s="469" t="s">
        <v>867</v>
      </c>
      <c r="C42" s="574" t="s">
        <v>98</v>
      </c>
      <c r="D42" s="573" t="s">
        <v>100</v>
      </c>
      <c r="E42" s="586">
        <v>1.3</v>
      </c>
      <c r="F42" s="576">
        <v>1</v>
      </c>
      <c r="G42" s="358" t="b">
        <f>E43='[6]Indicadores e Metas'!$F$41:$F$42</f>
        <v>1</v>
      </c>
      <c r="J42" s="302"/>
      <c r="K42" s="302"/>
      <c r="L42" s="302"/>
      <c r="M42" s="302"/>
      <c r="N42" s="302"/>
      <c r="O42" s="302"/>
      <c r="P42" s="302"/>
      <c r="Q42" s="302"/>
      <c r="R42" s="302"/>
      <c r="S42" s="302"/>
    </row>
    <row r="43" spans="1:19" s="301" customFormat="1" ht="45" customHeight="1" x14ac:dyDescent="0.35">
      <c r="A43" s="572"/>
      <c r="B43" s="470" t="s">
        <v>868</v>
      </c>
      <c r="C43" s="574"/>
      <c r="D43" s="573"/>
      <c r="E43" s="586"/>
      <c r="F43" s="576"/>
      <c r="H43" s="301">
        <f>4100/4100</f>
        <v>1</v>
      </c>
      <c r="J43" s="302"/>
      <c r="K43" s="302"/>
      <c r="L43" s="302"/>
      <c r="M43" s="302"/>
      <c r="N43" s="302"/>
      <c r="O43" s="302"/>
      <c r="P43" s="302"/>
      <c r="Q43" s="302"/>
      <c r="R43" s="302"/>
      <c r="S43" s="302"/>
    </row>
    <row r="44" spans="1:19" s="301" customFormat="1" ht="45" customHeight="1" x14ac:dyDescent="0.35">
      <c r="A44" s="572" t="s">
        <v>723</v>
      </c>
      <c r="B44" s="580" t="s">
        <v>869</v>
      </c>
      <c r="C44" s="580"/>
      <c r="D44" s="573" t="s">
        <v>100</v>
      </c>
      <c r="E44" s="586">
        <v>0.13</v>
      </c>
      <c r="F44" s="596">
        <v>8.2100000000000009</v>
      </c>
      <c r="G44" s="360" t="b">
        <f>E45='[6]Indicadores e Metas'!$F$43:$F$44</f>
        <v>1</v>
      </c>
      <c r="J44" s="302"/>
      <c r="K44" s="302"/>
      <c r="L44" s="302"/>
      <c r="M44" s="302"/>
      <c r="N44" s="302"/>
      <c r="O44" s="302"/>
      <c r="P44" s="302"/>
      <c r="Q44" s="302"/>
      <c r="R44" s="302"/>
      <c r="S44" s="302"/>
    </row>
    <row r="45" spans="1:19" s="301" customFormat="1" ht="45" customHeight="1" x14ac:dyDescent="0.35">
      <c r="A45" s="572"/>
      <c r="B45" s="582" t="s">
        <v>870</v>
      </c>
      <c r="C45" s="582"/>
      <c r="D45" s="573"/>
      <c r="E45" s="586"/>
      <c r="F45" s="596"/>
      <c r="H45" s="434">
        <f>33685.45/4100</f>
        <v>8.215963414634146</v>
      </c>
      <c r="J45" s="302"/>
      <c r="K45" s="302"/>
      <c r="L45" s="302"/>
      <c r="M45" s="302"/>
      <c r="N45" s="302"/>
      <c r="O45" s="302"/>
      <c r="P45" s="302"/>
      <c r="Q45" s="302"/>
      <c r="R45" s="302"/>
      <c r="S45" s="302"/>
    </row>
    <row r="46" spans="1:19" s="301" customFormat="1" ht="45" customHeight="1" x14ac:dyDescent="0.35">
      <c r="A46" s="572" t="s">
        <v>724</v>
      </c>
      <c r="B46" s="469" t="s">
        <v>904</v>
      </c>
      <c r="C46" s="574" t="s">
        <v>98</v>
      </c>
      <c r="D46" s="573" t="s">
        <v>100</v>
      </c>
      <c r="E46" s="586">
        <v>2</v>
      </c>
      <c r="F46" s="576">
        <v>1</v>
      </c>
      <c r="G46" s="487" t="b">
        <f>E47='[6]Indicadores e Metas'!$F$45:$F$46</f>
        <v>1</v>
      </c>
      <c r="H46" s="496"/>
      <c r="J46" s="302"/>
      <c r="K46" s="302"/>
      <c r="L46" s="302"/>
      <c r="M46" s="302"/>
      <c r="N46" s="302"/>
      <c r="O46" s="302"/>
      <c r="P46" s="302"/>
      <c r="Q46" s="302"/>
      <c r="R46" s="302"/>
      <c r="S46" s="302"/>
    </row>
    <row r="47" spans="1:19" ht="45" customHeight="1" x14ac:dyDescent="0.35">
      <c r="A47" s="572"/>
      <c r="B47" s="470" t="s">
        <v>871</v>
      </c>
      <c r="C47" s="574"/>
      <c r="D47" s="573"/>
      <c r="E47" s="586"/>
      <c r="F47" s="576"/>
      <c r="H47" s="812">
        <f>264/264</f>
        <v>1</v>
      </c>
      <c r="I47" s="498"/>
      <c r="J47" s="301"/>
      <c r="K47" s="301"/>
      <c r="L47" s="301"/>
      <c r="M47" s="301"/>
      <c r="N47" s="301"/>
      <c r="O47" s="301"/>
      <c r="P47" s="301"/>
      <c r="Q47" s="301"/>
      <c r="R47" s="301"/>
    </row>
    <row r="48" spans="1:19" s="301" customFormat="1" ht="79.5" customHeight="1" x14ac:dyDescent="0.35">
      <c r="A48" s="331" t="s">
        <v>30</v>
      </c>
      <c r="B48" s="578" t="s">
        <v>64</v>
      </c>
      <c r="C48" s="578"/>
      <c r="D48" s="332" t="s">
        <v>65</v>
      </c>
      <c r="E48" s="332" t="s">
        <v>239</v>
      </c>
      <c r="F48" s="332" t="s">
        <v>238</v>
      </c>
      <c r="J48" s="302"/>
      <c r="K48" s="302"/>
      <c r="L48" s="302"/>
      <c r="M48" s="302"/>
      <c r="N48" s="302"/>
      <c r="O48" s="302"/>
      <c r="P48" s="302"/>
      <c r="Q48" s="302"/>
      <c r="R48" s="302"/>
      <c r="S48" s="302"/>
    </row>
    <row r="49" spans="1:19" ht="90" customHeight="1" x14ac:dyDescent="0.35">
      <c r="A49" s="335" t="s">
        <v>725</v>
      </c>
      <c r="B49" s="577" t="s">
        <v>222</v>
      </c>
      <c r="C49" s="577"/>
      <c r="D49" s="336" t="s">
        <v>91</v>
      </c>
      <c r="E49" s="337">
        <v>10</v>
      </c>
      <c r="F49" s="338">
        <v>10</v>
      </c>
      <c r="G49" s="301" t="b">
        <f>E49='[6]Indicadores e Metas'!$F$48</f>
        <v>1</v>
      </c>
    </row>
    <row r="50" spans="1:19" s="301" customFormat="1" ht="79.5" customHeight="1" x14ac:dyDescent="0.35">
      <c r="A50" s="331" t="s">
        <v>31</v>
      </c>
      <c r="B50" s="578" t="s">
        <v>64</v>
      </c>
      <c r="C50" s="578"/>
      <c r="D50" s="332" t="s">
        <v>65</v>
      </c>
      <c r="E50" s="332" t="s">
        <v>239</v>
      </c>
      <c r="F50" s="332" t="s">
        <v>238</v>
      </c>
      <c r="J50" s="302"/>
      <c r="K50" s="302"/>
      <c r="L50" s="302"/>
      <c r="M50" s="302"/>
      <c r="N50" s="302"/>
      <c r="O50" s="302"/>
      <c r="P50" s="302"/>
      <c r="Q50" s="302"/>
      <c r="R50" s="302"/>
      <c r="S50" s="302"/>
    </row>
    <row r="51" spans="1:19" ht="45" customHeight="1" x14ac:dyDescent="0.35">
      <c r="A51" s="572" t="s">
        <v>726</v>
      </c>
      <c r="B51" s="469" t="s">
        <v>872</v>
      </c>
      <c r="C51" s="574" t="s">
        <v>98</v>
      </c>
      <c r="D51" s="574" t="s">
        <v>91</v>
      </c>
      <c r="E51" s="576">
        <v>0.65</v>
      </c>
      <c r="F51" s="586">
        <v>0.65</v>
      </c>
      <c r="G51" s="358" t="b">
        <f>E52='[6]Indicadores e Metas'!$F$50:$F$51</f>
        <v>1</v>
      </c>
    </row>
    <row r="52" spans="1:19" ht="45" customHeight="1" x14ac:dyDescent="0.35">
      <c r="A52" s="572"/>
      <c r="B52" s="470" t="s">
        <v>873</v>
      </c>
      <c r="C52" s="574"/>
      <c r="D52" s="574"/>
      <c r="E52" s="576"/>
      <c r="F52" s="586"/>
      <c r="H52" s="362">
        <f>554/853</f>
        <v>0.64947245017584998</v>
      </c>
    </row>
    <row r="53" spans="1:19" ht="45" customHeight="1" x14ac:dyDescent="0.35">
      <c r="A53" s="572" t="s">
        <v>727</v>
      </c>
      <c r="B53" s="469" t="s">
        <v>874</v>
      </c>
      <c r="C53" s="574" t="s">
        <v>98</v>
      </c>
      <c r="D53" s="574" t="s">
        <v>91</v>
      </c>
      <c r="E53" s="576">
        <v>0.3</v>
      </c>
      <c r="F53" s="586">
        <v>0.3</v>
      </c>
      <c r="G53" s="358" t="b">
        <f>E54=-'[6]Indicadores e Metas'!$F$52:$F$53</f>
        <v>1</v>
      </c>
    </row>
    <row r="54" spans="1:19" ht="45" customHeight="1" x14ac:dyDescent="0.35">
      <c r="A54" s="572"/>
      <c r="B54" s="470" t="s">
        <v>873</v>
      </c>
      <c r="C54" s="574"/>
      <c r="D54" s="574"/>
      <c r="E54" s="576"/>
      <c r="F54" s="586"/>
      <c r="H54" s="362">
        <f>256/853</f>
        <v>0.30011723329425555</v>
      </c>
    </row>
    <row r="55" spans="1:19" s="301" customFormat="1" ht="79.5" customHeight="1" x14ac:dyDescent="0.35">
      <c r="A55" s="331" t="s">
        <v>32</v>
      </c>
      <c r="B55" s="578" t="s">
        <v>64</v>
      </c>
      <c r="C55" s="578"/>
      <c r="D55" s="332" t="s">
        <v>65</v>
      </c>
      <c r="E55" s="332" t="s">
        <v>239</v>
      </c>
      <c r="F55" s="332" t="s">
        <v>238</v>
      </c>
      <c r="J55" s="302"/>
      <c r="K55" s="302"/>
      <c r="L55" s="302"/>
      <c r="M55" s="302"/>
      <c r="N55" s="302"/>
      <c r="O55" s="302"/>
      <c r="P55" s="302"/>
      <c r="Q55" s="302"/>
      <c r="R55" s="302"/>
      <c r="S55" s="302"/>
    </row>
    <row r="56" spans="1:19" s="301" customFormat="1" ht="90" customHeight="1" x14ac:dyDescent="0.35">
      <c r="A56" s="339" t="s">
        <v>728</v>
      </c>
      <c r="B56" s="574" t="s">
        <v>223</v>
      </c>
      <c r="C56" s="574"/>
      <c r="D56" s="303" t="s">
        <v>218</v>
      </c>
      <c r="E56" s="340">
        <v>150000</v>
      </c>
      <c r="F56" s="340">
        <v>150000</v>
      </c>
      <c r="G56" s="301" t="b">
        <f>E56='[6]Indicadores e Metas'!$F$55</f>
        <v>1</v>
      </c>
      <c r="J56" s="302"/>
      <c r="K56" s="302"/>
      <c r="L56" s="302"/>
      <c r="M56" s="302"/>
      <c r="N56" s="302"/>
      <c r="O56" s="302"/>
      <c r="P56" s="302"/>
      <c r="Q56" s="302"/>
      <c r="R56" s="302"/>
      <c r="S56" s="302"/>
    </row>
    <row r="57" spans="1:19" s="301" customFormat="1" ht="45" customHeight="1" x14ac:dyDescent="0.35">
      <c r="A57" s="572" t="s">
        <v>729</v>
      </c>
      <c r="B57" s="333" t="s">
        <v>224</v>
      </c>
      <c r="C57" s="574" t="s">
        <v>98</v>
      </c>
      <c r="D57" s="574" t="s">
        <v>92</v>
      </c>
      <c r="E57" s="595" t="s">
        <v>705</v>
      </c>
      <c r="F57" s="595" t="s">
        <v>705</v>
      </c>
      <c r="G57" s="301" t="b">
        <f>E58='[6]Indicadores e Metas'!$F$56:$F$57</f>
        <v>1</v>
      </c>
      <c r="J57" s="302"/>
      <c r="K57" s="302"/>
      <c r="L57" s="302"/>
      <c r="M57" s="302"/>
      <c r="N57" s="302"/>
      <c r="O57" s="302"/>
      <c r="P57" s="302"/>
      <c r="Q57" s="302"/>
      <c r="R57" s="302"/>
      <c r="S57" s="302"/>
    </row>
    <row r="58" spans="1:19" s="301" customFormat="1" ht="45" customHeight="1" x14ac:dyDescent="0.35">
      <c r="A58" s="572"/>
      <c r="B58" s="334" t="s">
        <v>101</v>
      </c>
      <c r="C58" s="574"/>
      <c r="D58" s="574"/>
      <c r="E58" s="595"/>
      <c r="F58" s="595"/>
      <c r="J58" s="302"/>
      <c r="K58" s="302"/>
      <c r="L58" s="302"/>
      <c r="M58" s="302"/>
      <c r="N58" s="302"/>
      <c r="O58" s="302"/>
      <c r="P58" s="302"/>
      <c r="Q58" s="302"/>
      <c r="R58" s="302"/>
      <c r="S58" s="302"/>
    </row>
    <row r="59" spans="1:19" s="301" customFormat="1" ht="45" customHeight="1" x14ac:dyDescent="0.35">
      <c r="A59" s="572" t="s">
        <v>730</v>
      </c>
      <c r="B59" s="333" t="s">
        <v>225</v>
      </c>
      <c r="C59" s="574" t="s">
        <v>98</v>
      </c>
      <c r="D59" s="574" t="s">
        <v>92</v>
      </c>
      <c r="E59" s="586">
        <v>1</v>
      </c>
      <c r="F59" s="586">
        <v>1</v>
      </c>
      <c r="G59" s="358" t="b">
        <f>E60='[6]Indicadores e Metas'!$F$58:$F$59</f>
        <v>1</v>
      </c>
      <c r="J59" s="302"/>
      <c r="K59" s="302"/>
      <c r="L59" s="302"/>
      <c r="M59" s="302"/>
      <c r="N59" s="302"/>
      <c r="O59" s="302"/>
      <c r="P59" s="302"/>
      <c r="Q59" s="302"/>
      <c r="R59" s="302"/>
      <c r="S59" s="302"/>
    </row>
    <row r="60" spans="1:19" s="301" customFormat="1" ht="45" customHeight="1" x14ac:dyDescent="0.35">
      <c r="A60" s="572"/>
      <c r="B60" s="334" t="s">
        <v>102</v>
      </c>
      <c r="C60" s="574"/>
      <c r="D60" s="574"/>
      <c r="E60" s="586"/>
      <c r="F60" s="586"/>
      <c r="J60" s="302"/>
      <c r="K60" s="302"/>
      <c r="L60" s="302"/>
      <c r="M60" s="302"/>
      <c r="N60" s="302"/>
      <c r="O60" s="302"/>
      <c r="P60" s="302"/>
      <c r="Q60" s="302"/>
      <c r="R60" s="302"/>
      <c r="S60" s="302"/>
    </row>
    <row r="61" spans="1:19" s="301" customFormat="1" ht="90" customHeight="1" x14ac:dyDescent="0.35">
      <c r="A61" s="339" t="s">
        <v>226</v>
      </c>
      <c r="B61" s="574" t="s">
        <v>227</v>
      </c>
      <c r="C61" s="574"/>
      <c r="D61" s="303" t="s">
        <v>100</v>
      </c>
      <c r="E61" s="340">
        <v>700000</v>
      </c>
      <c r="F61" s="340">
        <v>450000</v>
      </c>
      <c r="G61" s="301" t="b">
        <f>E61='[6]Indicadores e Metas'!$F$60</f>
        <v>1</v>
      </c>
      <c r="J61" s="302"/>
      <c r="K61" s="302"/>
      <c r="L61" s="302"/>
      <c r="M61" s="302"/>
      <c r="N61" s="302"/>
      <c r="O61" s="302"/>
      <c r="P61" s="302"/>
      <c r="Q61" s="302"/>
      <c r="R61" s="302"/>
      <c r="S61" s="302"/>
    </row>
    <row r="62" spans="1:19" s="301" customFormat="1" ht="79.5" customHeight="1" x14ac:dyDescent="0.35">
      <c r="A62" s="331" t="s">
        <v>33</v>
      </c>
      <c r="B62" s="578" t="s">
        <v>64</v>
      </c>
      <c r="C62" s="578"/>
      <c r="D62" s="332" t="s">
        <v>65</v>
      </c>
      <c r="E62" s="332" t="s">
        <v>239</v>
      </c>
      <c r="F62" s="332" t="s">
        <v>238</v>
      </c>
      <c r="J62" s="302"/>
      <c r="K62" s="302"/>
      <c r="L62" s="302"/>
      <c r="M62" s="302"/>
      <c r="N62" s="302"/>
      <c r="O62" s="302"/>
      <c r="P62" s="302"/>
      <c r="Q62" s="302"/>
      <c r="R62" s="302"/>
      <c r="S62" s="302"/>
    </row>
    <row r="63" spans="1:19" s="301" customFormat="1" ht="45" customHeight="1" x14ac:dyDescent="0.35">
      <c r="A63" s="594" t="s">
        <v>731</v>
      </c>
      <c r="B63" s="341" t="s">
        <v>228</v>
      </c>
      <c r="C63" s="574" t="s">
        <v>98</v>
      </c>
      <c r="D63" s="574" t="s">
        <v>91</v>
      </c>
      <c r="E63" s="576" t="s">
        <v>705</v>
      </c>
      <c r="F63" s="576" t="s">
        <v>705</v>
      </c>
      <c r="G63" s="358" t="b">
        <f>E64='[6]Indicadores e Metas'!$F$62:$F$63</f>
        <v>1</v>
      </c>
      <c r="J63" s="302"/>
      <c r="K63" s="302"/>
      <c r="L63" s="302"/>
      <c r="M63" s="302"/>
      <c r="N63" s="302"/>
      <c r="O63" s="302"/>
      <c r="P63" s="302"/>
      <c r="Q63" s="302"/>
      <c r="R63" s="302"/>
      <c r="S63" s="302"/>
    </row>
    <row r="64" spans="1:19" s="301" customFormat="1" ht="45" customHeight="1" x14ac:dyDescent="0.35">
      <c r="A64" s="594"/>
      <c r="B64" s="342" t="s">
        <v>229</v>
      </c>
      <c r="C64" s="574"/>
      <c r="D64" s="574"/>
      <c r="E64" s="576"/>
      <c r="F64" s="576"/>
      <c r="J64" s="302"/>
      <c r="K64" s="302"/>
      <c r="L64" s="302"/>
      <c r="M64" s="302"/>
      <c r="N64" s="302"/>
      <c r="O64" s="302"/>
      <c r="P64" s="302"/>
      <c r="Q64" s="302"/>
      <c r="R64" s="302"/>
      <c r="S64" s="302"/>
    </row>
    <row r="65" spans="1:19" s="301" customFormat="1" ht="45" customHeight="1" x14ac:dyDescent="0.35">
      <c r="A65" s="593" t="s">
        <v>732</v>
      </c>
      <c r="B65" s="343" t="s">
        <v>193</v>
      </c>
      <c r="C65" s="574" t="s">
        <v>98</v>
      </c>
      <c r="D65" s="574" t="s">
        <v>91</v>
      </c>
      <c r="E65" s="576">
        <v>0.6</v>
      </c>
      <c r="F65" s="576">
        <v>0.6</v>
      </c>
      <c r="G65" s="358" t="b">
        <f>E66='[6]Indicadores e Metas'!$F$64:$F$65</f>
        <v>1</v>
      </c>
      <c r="J65" s="302"/>
      <c r="K65" s="302"/>
      <c r="L65" s="302"/>
      <c r="M65" s="302"/>
      <c r="N65" s="302"/>
      <c r="O65" s="302"/>
      <c r="P65" s="302"/>
      <c r="Q65" s="302"/>
      <c r="R65" s="302"/>
      <c r="S65" s="302"/>
    </row>
    <row r="66" spans="1:19" s="301" customFormat="1" ht="45" customHeight="1" x14ac:dyDescent="0.35">
      <c r="A66" s="593"/>
      <c r="B66" s="344" t="s">
        <v>230</v>
      </c>
      <c r="C66" s="574"/>
      <c r="D66" s="574"/>
      <c r="E66" s="576"/>
      <c r="F66" s="576"/>
      <c r="J66" s="302"/>
      <c r="K66" s="302"/>
      <c r="L66" s="302"/>
      <c r="M66" s="302"/>
      <c r="N66" s="302"/>
      <c r="O66" s="302"/>
      <c r="P66" s="302"/>
      <c r="Q66" s="302"/>
      <c r="R66" s="302"/>
      <c r="S66" s="302"/>
    </row>
    <row r="67" spans="1:19" s="301" customFormat="1" ht="45" customHeight="1" x14ac:dyDescent="0.35">
      <c r="A67" s="572" t="s">
        <v>733</v>
      </c>
      <c r="B67" s="580" t="s">
        <v>231</v>
      </c>
      <c r="C67" s="580"/>
      <c r="D67" s="574" t="s">
        <v>100</v>
      </c>
      <c r="E67" s="576">
        <v>0.6</v>
      </c>
      <c r="F67" s="591">
        <v>0.49</v>
      </c>
      <c r="G67" s="360" t="b">
        <f>E68='[6]Indicadores e Metas'!$F$66:$F$67</f>
        <v>1</v>
      </c>
      <c r="J67" s="302"/>
      <c r="K67" s="302"/>
      <c r="L67" s="302"/>
      <c r="M67" s="302"/>
      <c r="N67" s="302"/>
      <c r="O67" s="302"/>
      <c r="P67" s="302"/>
      <c r="Q67" s="302"/>
      <c r="R67" s="302"/>
      <c r="S67" s="302"/>
    </row>
    <row r="68" spans="1:19" s="301" customFormat="1" ht="45" customHeight="1" x14ac:dyDescent="0.35">
      <c r="A68" s="572"/>
      <c r="B68" s="582" t="s">
        <v>232</v>
      </c>
      <c r="C68" s="582"/>
      <c r="D68" s="574"/>
      <c r="E68" s="576"/>
      <c r="F68" s="592"/>
      <c r="J68" s="302"/>
      <c r="K68" s="302"/>
      <c r="L68" s="302"/>
      <c r="M68" s="302"/>
      <c r="N68" s="302"/>
      <c r="O68" s="302"/>
      <c r="P68" s="302"/>
      <c r="Q68" s="302"/>
      <c r="R68" s="302"/>
      <c r="S68" s="302"/>
    </row>
    <row r="69" spans="1:19" s="301" customFormat="1" ht="79.5" customHeight="1" x14ac:dyDescent="0.35">
      <c r="A69" s="331" t="s">
        <v>34</v>
      </c>
      <c r="B69" s="578" t="s">
        <v>64</v>
      </c>
      <c r="C69" s="578"/>
      <c r="D69" s="332" t="s">
        <v>65</v>
      </c>
      <c r="E69" s="332" t="s">
        <v>239</v>
      </c>
      <c r="F69" s="332" t="s">
        <v>238</v>
      </c>
      <c r="G69" s="304"/>
      <c r="J69" s="302"/>
      <c r="K69" s="302"/>
      <c r="L69" s="302"/>
      <c r="M69" s="302"/>
      <c r="N69" s="302"/>
      <c r="O69" s="302"/>
      <c r="P69" s="302"/>
      <c r="Q69" s="302"/>
      <c r="R69" s="302"/>
      <c r="S69" s="302"/>
    </row>
    <row r="70" spans="1:19" s="301" customFormat="1" ht="45" customHeight="1" x14ac:dyDescent="0.35">
      <c r="A70" s="572" t="s">
        <v>734</v>
      </c>
      <c r="B70" s="580" t="s">
        <v>875</v>
      </c>
      <c r="C70" s="580"/>
      <c r="D70" s="574" t="s">
        <v>92</v>
      </c>
      <c r="E70" s="586">
        <v>0.02</v>
      </c>
      <c r="F70" s="596">
        <v>2.0499999999999998</v>
      </c>
      <c r="G70" s="358" t="b">
        <f>E71='[6]Indicadores e Metas'!$F$69:$F$70</f>
        <v>1</v>
      </c>
      <c r="H70" s="436">
        <f>56243/(21292666/1000)</f>
        <v>2.6414259257154553</v>
      </c>
      <c r="I70" s="488">
        <v>21292666</v>
      </c>
      <c r="J70" s="301" t="s">
        <v>839</v>
      </c>
      <c r="K70" s="302"/>
      <c r="L70" s="302"/>
      <c r="M70" s="302"/>
      <c r="N70" s="435"/>
      <c r="O70" s="302"/>
      <c r="P70" s="302"/>
      <c r="Q70" s="302"/>
      <c r="R70" s="302"/>
      <c r="S70" s="302"/>
    </row>
    <row r="71" spans="1:19" s="301" customFormat="1" ht="45" customHeight="1" x14ac:dyDescent="0.35">
      <c r="A71" s="572"/>
      <c r="B71" s="582" t="s">
        <v>876</v>
      </c>
      <c r="C71" s="582"/>
      <c r="D71" s="574"/>
      <c r="E71" s="586"/>
      <c r="F71" s="596"/>
      <c r="H71" s="499" t="s">
        <v>906</v>
      </c>
      <c r="I71" s="301" t="s">
        <v>902</v>
      </c>
      <c r="J71" s="302"/>
      <c r="K71" s="302"/>
      <c r="L71" s="302"/>
      <c r="M71" s="302"/>
      <c r="N71" s="302"/>
      <c r="O71" s="302"/>
      <c r="P71" s="302"/>
      <c r="Q71" s="302"/>
      <c r="R71" s="302"/>
      <c r="S71" s="302"/>
    </row>
    <row r="72" spans="1:19" s="301" customFormat="1" ht="45" customHeight="1" x14ac:dyDescent="0.35">
      <c r="A72" s="572" t="s">
        <v>735</v>
      </c>
      <c r="B72" s="469" t="s">
        <v>877</v>
      </c>
      <c r="C72" s="574" t="s">
        <v>98</v>
      </c>
      <c r="D72" s="574" t="s">
        <v>92</v>
      </c>
      <c r="E72" s="586">
        <v>0.03</v>
      </c>
      <c r="F72" s="586">
        <v>0.03</v>
      </c>
      <c r="G72" s="358" t="b">
        <f>E73=-'[6]Indicadores e Metas'!$F$71:$F$72</f>
        <v>1</v>
      </c>
      <c r="J72" s="302"/>
      <c r="K72" s="302"/>
      <c r="L72" s="302"/>
      <c r="M72" s="302"/>
      <c r="N72" s="302"/>
      <c r="O72" s="302"/>
      <c r="P72" s="302"/>
      <c r="Q72" s="302"/>
      <c r="R72" s="302"/>
      <c r="S72" s="302"/>
    </row>
    <row r="73" spans="1:19" ht="45" customHeight="1" x14ac:dyDescent="0.35">
      <c r="A73" s="572"/>
      <c r="B73" s="470" t="s">
        <v>878</v>
      </c>
      <c r="C73" s="574"/>
      <c r="D73" s="574"/>
      <c r="E73" s="586"/>
      <c r="F73" s="586"/>
      <c r="H73" s="362">
        <f>1300/43700</f>
        <v>2.9748283752860413E-2</v>
      </c>
    </row>
    <row r="74" spans="1:19" s="301" customFormat="1" ht="45" customHeight="1" x14ac:dyDescent="0.35">
      <c r="A74" s="572" t="s">
        <v>736</v>
      </c>
      <c r="B74" s="469" t="s">
        <v>879</v>
      </c>
      <c r="C74" s="574" t="s">
        <v>98</v>
      </c>
      <c r="D74" s="574" t="s">
        <v>92</v>
      </c>
      <c r="E74" s="590">
        <v>2E-3</v>
      </c>
      <c r="F74" s="586">
        <v>2E-3</v>
      </c>
      <c r="G74" s="361" t="b">
        <f>E75='[6]Indicadores e Metas'!$F$73:$F$74</f>
        <v>1</v>
      </c>
    </row>
    <row r="75" spans="1:19" s="301" customFormat="1" ht="45" customHeight="1" x14ac:dyDescent="0.35">
      <c r="A75" s="572"/>
      <c r="B75" s="470" t="s">
        <v>878</v>
      </c>
      <c r="C75" s="574"/>
      <c r="D75" s="574"/>
      <c r="E75" s="590"/>
      <c r="F75" s="586"/>
      <c r="H75" s="301">
        <v>0</v>
      </c>
    </row>
    <row r="76" spans="1:19" s="301" customFormat="1" ht="79.5" customHeight="1" x14ac:dyDescent="0.35">
      <c r="A76" s="331" t="s">
        <v>35</v>
      </c>
      <c r="B76" s="578" t="s">
        <v>64</v>
      </c>
      <c r="C76" s="578"/>
      <c r="D76" s="332" t="s">
        <v>65</v>
      </c>
      <c r="E76" s="332" t="s">
        <v>239</v>
      </c>
      <c r="F76" s="332" t="s">
        <v>238</v>
      </c>
      <c r="I76" s="569"/>
      <c r="J76" s="569"/>
      <c r="K76" s="569"/>
      <c r="L76" s="569"/>
      <c r="M76" s="302"/>
      <c r="N76" s="302"/>
      <c r="O76" s="302"/>
      <c r="P76" s="302"/>
      <c r="Q76" s="302"/>
      <c r="R76" s="302"/>
      <c r="S76" s="302"/>
    </row>
    <row r="77" spans="1:19" ht="45" customHeight="1" x14ac:dyDescent="0.35">
      <c r="A77" s="572" t="s">
        <v>737</v>
      </c>
      <c r="B77" s="580" t="s">
        <v>880</v>
      </c>
      <c r="C77" s="580"/>
      <c r="D77" s="574" t="s">
        <v>233</v>
      </c>
      <c r="E77" s="589">
        <v>641.15</v>
      </c>
      <c r="F77" s="589">
        <v>632.79999999999995</v>
      </c>
      <c r="G77" s="362" t="b">
        <f>E78='[6]Indicadores e Metas'!F76:F77</f>
        <v>1</v>
      </c>
      <c r="H77" s="437">
        <f>'Anexo 1. Fontes e Aplicações'!F11/'Tabela Resumo'!AK12</f>
        <v>632.79970656646981</v>
      </c>
      <c r="I77" s="473"/>
      <c r="J77" s="474"/>
      <c r="K77" s="474"/>
      <c r="L77" s="474"/>
    </row>
    <row r="78" spans="1:19" ht="45" customHeight="1" x14ac:dyDescent="0.35">
      <c r="A78" s="572"/>
      <c r="B78" s="582" t="s">
        <v>881</v>
      </c>
      <c r="C78" s="582"/>
      <c r="D78" s="574"/>
      <c r="E78" s="589"/>
      <c r="F78" s="589"/>
      <c r="G78" s="362"/>
      <c r="I78" s="570"/>
      <c r="J78" s="570"/>
      <c r="K78" s="570"/>
      <c r="L78" s="570"/>
    </row>
    <row r="79" spans="1:19" ht="45" customHeight="1" x14ac:dyDescent="0.35">
      <c r="A79" s="572" t="s">
        <v>738</v>
      </c>
      <c r="B79" s="469" t="s">
        <v>882</v>
      </c>
      <c r="C79" s="574" t="s">
        <v>98</v>
      </c>
      <c r="D79" s="574" t="s">
        <v>234</v>
      </c>
      <c r="E79" s="585">
        <f>5964158.71/10359139</f>
        <v>0.57573884373981277</v>
      </c>
      <c r="F79" s="586">
        <f>'Anexo 2. Limites Estratégicos'!O5/'Anexo 2. Limites Estratégicos'!O7</f>
        <v>0.54001107370270074</v>
      </c>
      <c r="G79" s="362" t="b">
        <f>E80='[6]Indicadores e Metas'!F78:F79</f>
        <v>1</v>
      </c>
      <c r="H79" s="362">
        <f>'Anexo 2. Limites Estratégicos'!O5/'Anexo 2. Limites Estratégicos'!O7</f>
        <v>0.54001107370270074</v>
      </c>
      <c r="I79" s="473"/>
      <c r="J79" s="474"/>
      <c r="K79" s="474"/>
      <c r="L79" s="474"/>
    </row>
    <row r="80" spans="1:19" ht="45" customHeight="1" x14ac:dyDescent="0.35">
      <c r="A80" s="572"/>
      <c r="B80" s="470" t="s">
        <v>880</v>
      </c>
      <c r="C80" s="574"/>
      <c r="D80" s="574"/>
      <c r="E80" s="585"/>
      <c r="F80" s="586"/>
      <c r="G80" s="362"/>
      <c r="I80" s="473"/>
      <c r="J80" s="474"/>
      <c r="K80" s="474"/>
      <c r="L80" s="474"/>
    </row>
    <row r="81" spans="1:19" ht="45" customHeight="1" x14ac:dyDescent="0.35">
      <c r="A81" s="572" t="s">
        <v>739</v>
      </c>
      <c r="B81" s="580" t="s">
        <v>883</v>
      </c>
      <c r="C81" s="580"/>
      <c r="D81" s="574" t="s">
        <v>100</v>
      </c>
      <c r="E81" s="587">
        <v>14.12</v>
      </c>
      <c r="F81" s="588">
        <v>18.920000000000002</v>
      </c>
      <c r="G81" s="362" t="b">
        <f>E82='[6]Indicadores e Metas'!F80:F81</f>
        <v>1</v>
      </c>
      <c r="H81" s="434">
        <f>17473487.79/923243.8</f>
        <v>18.926190232742421</v>
      </c>
      <c r="I81" s="473"/>
      <c r="J81" s="474"/>
      <c r="K81" s="474"/>
      <c r="L81" s="474"/>
    </row>
    <row r="82" spans="1:19" ht="45" customHeight="1" x14ac:dyDescent="0.35">
      <c r="A82" s="572"/>
      <c r="B82" s="582" t="s">
        <v>884</v>
      </c>
      <c r="C82" s="582"/>
      <c r="D82" s="574"/>
      <c r="E82" s="587"/>
      <c r="F82" s="588"/>
      <c r="G82" s="362"/>
      <c r="I82" s="473"/>
      <c r="J82" s="474"/>
      <c r="K82" s="474"/>
      <c r="L82" s="474"/>
    </row>
    <row r="83" spans="1:19" ht="45" customHeight="1" x14ac:dyDescent="0.35">
      <c r="A83" s="572" t="s">
        <v>740</v>
      </c>
      <c r="B83" s="469" t="s">
        <v>885</v>
      </c>
      <c r="C83" s="574" t="s">
        <v>98</v>
      </c>
      <c r="D83" s="574" t="s">
        <v>99</v>
      </c>
      <c r="E83" s="585">
        <v>0.29099999999999998</v>
      </c>
      <c r="F83" s="584">
        <v>0.26200000000000001</v>
      </c>
      <c r="G83" s="362" t="b">
        <f>E84='[6]Indicadores e Metas'!F82:F83</f>
        <v>1</v>
      </c>
      <c r="H83" s="434">
        <f>'Tabela Resumo'!AK12*'Tabela Resumo'!AK13/'Tabela Resumo'!AK12</f>
        <v>26.188856595139441</v>
      </c>
      <c r="I83" s="473"/>
      <c r="J83" s="474"/>
      <c r="K83" s="474"/>
      <c r="L83" s="474"/>
    </row>
    <row r="84" spans="1:19" s="301" customFormat="1" ht="45" customHeight="1" x14ac:dyDescent="0.35">
      <c r="A84" s="572"/>
      <c r="B84" s="470" t="s">
        <v>886</v>
      </c>
      <c r="C84" s="574"/>
      <c r="D84" s="574"/>
      <c r="E84" s="585"/>
      <c r="F84" s="584"/>
      <c r="G84" s="362"/>
      <c r="I84" s="473"/>
      <c r="J84" s="474"/>
      <c r="K84" s="474"/>
      <c r="L84" s="474"/>
      <c r="M84" s="302"/>
      <c r="N84" s="302"/>
      <c r="O84" s="302"/>
      <c r="P84" s="302"/>
      <c r="Q84" s="302"/>
      <c r="R84" s="302"/>
      <c r="S84" s="302"/>
    </row>
    <row r="85" spans="1:19" s="301" customFormat="1" ht="45" customHeight="1" x14ac:dyDescent="0.35">
      <c r="A85" s="572" t="s">
        <v>741</v>
      </c>
      <c r="B85" s="469" t="s">
        <v>887</v>
      </c>
      <c r="C85" s="574" t="s">
        <v>98</v>
      </c>
      <c r="D85" s="574" t="s">
        <v>99</v>
      </c>
      <c r="E85" s="583">
        <v>0.432</v>
      </c>
      <c r="F85" s="584">
        <v>0.39789999999999998</v>
      </c>
      <c r="G85" s="362" t="b">
        <f>E86='[6]Indicadores e Metas'!F84:F85</f>
        <v>1</v>
      </c>
      <c r="H85" s="434">
        <f>'Tabela Resumo'!AK15*'Tabela Resumo'!AK14/'Tabela Resumo'!AK14</f>
        <v>39.752947782144865</v>
      </c>
      <c r="I85" s="473"/>
      <c r="J85" s="474"/>
      <c r="K85" s="474"/>
      <c r="L85" s="474"/>
      <c r="M85" s="302"/>
      <c r="N85" s="302"/>
      <c r="O85" s="302"/>
      <c r="P85" s="302"/>
      <c r="Q85" s="302"/>
      <c r="R85" s="302"/>
      <c r="S85" s="302"/>
    </row>
    <row r="86" spans="1:19" s="301" customFormat="1" ht="45" customHeight="1" x14ac:dyDescent="0.35">
      <c r="A86" s="572"/>
      <c r="B86" s="470" t="s">
        <v>888</v>
      </c>
      <c r="C86" s="574"/>
      <c r="D86" s="574"/>
      <c r="E86" s="583"/>
      <c r="F86" s="584"/>
      <c r="G86" s="362"/>
      <c r="I86" s="473"/>
      <c r="J86" s="475"/>
      <c r="K86" s="474"/>
      <c r="L86" s="474"/>
      <c r="M86" s="302"/>
      <c r="N86" s="302"/>
      <c r="O86" s="302"/>
      <c r="P86" s="302"/>
      <c r="Q86" s="302"/>
      <c r="R86" s="302"/>
      <c r="S86" s="302"/>
    </row>
    <row r="87" spans="1:19" s="301" customFormat="1" ht="79.5" customHeight="1" x14ac:dyDescent="0.35">
      <c r="A87" s="331" t="s">
        <v>36</v>
      </c>
      <c r="B87" s="578" t="s">
        <v>64</v>
      </c>
      <c r="C87" s="578"/>
      <c r="D87" s="332" t="s">
        <v>65</v>
      </c>
      <c r="E87" s="332" t="s">
        <v>239</v>
      </c>
      <c r="F87" s="332" t="s">
        <v>238</v>
      </c>
      <c r="I87" s="473"/>
      <c r="J87" s="474"/>
      <c r="K87" s="474"/>
      <c r="L87" s="474"/>
      <c r="M87" s="302"/>
      <c r="N87" s="302"/>
      <c r="O87" s="302"/>
      <c r="P87" s="302"/>
      <c r="Q87" s="302"/>
      <c r="R87" s="302"/>
      <c r="S87" s="302"/>
    </row>
    <row r="88" spans="1:19" s="301" customFormat="1" ht="45" customHeight="1" x14ac:dyDescent="0.35">
      <c r="A88" s="572" t="s">
        <v>742</v>
      </c>
      <c r="B88" s="469" t="s">
        <v>889</v>
      </c>
      <c r="C88" s="574" t="s">
        <v>98</v>
      </c>
      <c r="D88" s="574" t="s">
        <v>234</v>
      </c>
      <c r="E88" s="576">
        <v>0.9</v>
      </c>
      <c r="F88" s="576">
        <v>0.93</v>
      </c>
      <c r="G88" s="358" t="b">
        <f>E89='[6]Indicadores e Metas'!F87:F88</f>
        <v>1</v>
      </c>
      <c r="H88" s="362">
        <f>62/67</f>
        <v>0.92537313432835822</v>
      </c>
      <c r="J88" s="302"/>
      <c r="K88" s="302"/>
      <c r="L88" s="302"/>
      <c r="M88" s="302"/>
      <c r="N88" s="302"/>
      <c r="O88" s="302"/>
      <c r="P88" s="302"/>
      <c r="Q88" s="302"/>
      <c r="R88" s="302"/>
      <c r="S88" s="302"/>
    </row>
    <row r="89" spans="1:19" s="301" customFormat="1" ht="45" customHeight="1" x14ac:dyDescent="0.35">
      <c r="A89" s="572"/>
      <c r="B89" s="470" t="s">
        <v>890</v>
      </c>
      <c r="C89" s="574"/>
      <c r="D89" s="574"/>
      <c r="E89" s="576"/>
      <c r="F89" s="576"/>
      <c r="G89" s="358"/>
      <c r="J89" s="302"/>
      <c r="K89" s="302"/>
      <c r="L89" s="302"/>
      <c r="M89" s="302"/>
      <c r="N89" s="302"/>
      <c r="O89" s="302"/>
      <c r="P89" s="302"/>
      <c r="Q89" s="302"/>
      <c r="R89" s="302"/>
      <c r="S89" s="302"/>
    </row>
    <row r="90" spans="1:19" s="301" customFormat="1" ht="45" customHeight="1" x14ac:dyDescent="0.35">
      <c r="A90" s="572" t="s">
        <v>743</v>
      </c>
      <c r="B90" s="469" t="s">
        <v>891</v>
      </c>
      <c r="C90" s="574" t="s">
        <v>98</v>
      </c>
      <c r="D90" s="574" t="s">
        <v>234</v>
      </c>
      <c r="E90" s="576">
        <v>0.45</v>
      </c>
      <c r="F90" s="576">
        <v>0.45</v>
      </c>
      <c r="G90" s="358" t="b">
        <f>E91='[6]Indicadores e Metas'!F89:F90</f>
        <v>1</v>
      </c>
      <c r="H90" s="362">
        <f>30/67</f>
        <v>0.44776119402985076</v>
      </c>
      <c r="J90" s="302"/>
      <c r="K90" s="302"/>
      <c r="L90" s="302"/>
      <c r="M90" s="302"/>
      <c r="N90" s="302"/>
      <c r="O90" s="302"/>
      <c r="P90" s="302"/>
      <c r="Q90" s="302"/>
      <c r="R90" s="302"/>
      <c r="S90" s="302"/>
    </row>
    <row r="91" spans="1:19" s="301" customFormat="1" ht="45" customHeight="1" x14ac:dyDescent="0.35">
      <c r="A91" s="572"/>
      <c r="B91" s="470" t="s">
        <v>890</v>
      </c>
      <c r="C91" s="574"/>
      <c r="D91" s="574"/>
      <c r="E91" s="576"/>
      <c r="F91" s="576"/>
      <c r="G91" s="358"/>
      <c r="J91" s="302"/>
      <c r="K91" s="302"/>
      <c r="L91" s="302"/>
      <c r="M91" s="302"/>
      <c r="N91" s="302"/>
      <c r="O91" s="302"/>
      <c r="P91" s="302"/>
      <c r="Q91" s="302"/>
      <c r="R91" s="302"/>
      <c r="S91" s="302"/>
    </row>
    <row r="92" spans="1:19" s="301" customFormat="1" ht="45" customHeight="1" x14ac:dyDescent="0.35">
      <c r="A92" s="572" t="s">
        <v>744</v>
      </c>
      <c r="B92" s="469" t="s">
        <v>892</v>
      </c>
      <c r="C92" s="574" t="s">
        <v>98</v>
      </c>
      <c r="D92" s="574" t="s">
        <v>234</v>
      </c>
      <c r="E92" s="576">
        <v>0.45</v>
      </c>
      <c r="F92" s="576">
        <v>0.05</v>
      </c>
      <c r="G92" s="358" t="b">
        <f>E93='[6]Indicadores e Metas'!F91:F92</f>
        <v>1</v>
      </c>
      <c r="H92" s="489">
        <f>3/67</f>
        <v>4.4776119402985072E-2</v>
      </c>
      <c r="J92" s="302"/>
      <c r="K92" s="302"/>
      <c r="L92" s="302"/>
      <c r="M92" s="302"/>
      <c r="N92" s="302"/>
      <c r="O92" s="302"/>
      <c r="P92" s="302"/>
      <c r="Q92" s="302"/>
      <c r="R92" s="302"/>
      <c r="S92" s="302"/>
    </row>
    <row r="93" spans="1:19" s="301" customFormat="1" ht="45" customHeight="1" x14ac:dyDescent="0.35">
      <c r="A93" s="572"/>
      <c r="B93" s="470" t="s">
        <v>890</v>
      </c>
      <c r="C93" s="574"/>
      <c r="D93" s="574"/>
      <c r="E93" s="576"/>
      <c r="F93" s="576"/>
      <c r="J93" s="302"/>
      <c r="K93" s="302"/>
      <c r="L93" s="302"/>
      <c r="M93" s="302"/>
      <c r="N93" s="302"/>
      <c r="O93" s="302"/>
      <c r="P93" s="302"/>
      <c r="Q93" s="302"/>
      <c r="R93" s="302"/>
      <c r="S93" s="302"/>
    </row>
    <row r="94" spans="1:19" s="301" customFormat="1" ht="79.5" customHeight="1" x14ac:dyDescent="0.35">
      <c r="A94" s="331" t="s">
        <v>37</v>
      </c>
      <c r="B94" s="578" t="s">
        <v>64</v>
      </c>
      <c r="C94" s="578"/>
      <c r="D94" s="332" t="s">
        <v>65</v>
      </c>
      <c r="E94" s="332" t="s">
        <v>239</v>
      </c>
      <c r="F94" s="332" t="s">
        <v>238</v>
      </c>
      <c r="I94" s="569"/>
      <c r="J94" s="569"/>
      <c r="K94" s="569"/>
      <c r="L94" s="569"/>
      <c r="M94" s="302"/>
      <c r="N94" s="302"/>
      <c r="O94" s="302"/>
      <c r="P94" s="302"/>
      <c r="Q94" s="302"/>
      <c r="R94" s="302"/>
      <c r="S94" s="302"/>
    </row>
    <row r="95" spans="1:19" s="301" customFormat="1" ht="45" customHeight="1" x14ac:dyDescent="0.35">
      <c r="A95" s="572" t="s">
        <v>745</v>
      </c>
      <c r="B95" s="580" t="s">
        <v>893</v>
      </c>
      <c r="C95" s="580"/>
      <c r="D95" s="574" t="s">
        <v>91</v>
      </c>
      <c r="E95" s="581">
        <v>4</v>
      </c>
      <c r="F95" s="581">
        <v>4</v>
      </c>
      <c r="G95" s="363" t="b">
        <f>E96='[6]Indicadores e Metas'!$F$94:$F$95</f>
        <v>1</v>
      </c>
      <c r="H95" s="434">
        <f>173/43</f>
        <v>4.0232558139534884</v>
      </c>
      <c r="I95" s="571"/>
      <c r="J95" s="571"/>
      <c r="K95" s="571"/>
      <c r="L95" s="571"/>
      <c r="M95" s="302"/>
      <c r="N95" s="302"/>
      <c r="O95" s="302"/>
      <c r="P95" s="302"/>
      <c r="Q95" s="302"/>
      <c r="R95" s="302"/>
      <c r="S95" s="302"/>
    </row>
    <row r="96" spans="1:19" s="301" customFormat="1" ht="45" customHeight="1" x14ac:dyDescent="0.35">
      <c r="A96" s="572"/>
      <c r="B96" s="582" t="s">
        <v>894</v>
      </c>
      <c r="C96" s="582"/>
      <c r="D96" s="574"/>
      <c r="E96" s="581"/>
      <c r="F96" s="581"/>
      <c r="G96" s="305"/>
      <c r="I96" s="571"/>
      <c r="J96" s="571"/>
      <c r="K96" s="571"/>
      <c r="L96" s="571"/>
      <c r="M96" s="302"/>
      <c r="N96" s="302"/>
      <c r="O96" s="302"/>
      <c r="P96" s="302"/>
      <c r="Q96" s="302"/>
      <c r="R96" s="302"/>
      <c r="S96" s="302"/>
    </row>
    <row r="97" spans="1:19" s="301" customFormat="1" ht="79.5" customHeight="1" x14ac:dyDescent="0.35">
      <c r="A97" s="331" t="s">
        <v>38</v>
      </c>
      <c r="B97" s="578" t="s">
        <v>64</v>
      </c>
      <c r="C97" s="578"/>
      <c r="D97" s="332" t="s">
        <v>65</v>
      </c>
      <c r="E97" s="332" t="s">
        <v>239</v>
      </c>
      <c r="F97" s="332" t="s">
        <v>238</v>
      </c>
      <c r="I97" s="473"/>
      <c r="J97" s="474"/>
      <c r="K97" s="474"/>
      <c r="L97" s="474"/>
      <c r="M97" s="302"/>
      <c r="N97" s="302"/>
      <c r="O97" s="302"/>
      <c r="P97" s="302"/>
      <c r="Q97" s="302"/>
      <c r="R97" s="302"/>
      <c r="S97" s="302"/>
    </row>
    <row r="98" spans="1:19" s="301" customFormat="1" ht="90" customHeight="1" x14ac:dyDescent="0.35">
      <c r="A98" s="339" t="s">
        <v>235</v>
      </c>
      <c r="B98" s="574" t="s">
        <v>236</v>
      </c>
      <c r="C98" s="574"/>
      <c r="D98" s="303" t="s">
        <v>91</v>
      </c>
      <c r="E98" s="303">
        <v>5</v>
      </c>
      <c r="F98" s="303">
        <v>5</v>
      </c>
      <c r="G98" s="301" t="b">
        <f>E98='[6]Indicadores e Metas'!$F$97</f>
        <v>1</v>
      </c>
      <c r="J98" s="302"/>
      <c r="K98" s="302"/>
      <c r="L98" s="302"/>
      <c r="M98" s="302"/>
      <c r="N98" s="302"/>
      <c r="O98" s="302"/>
      <c r="P98" s="302"/>
      <c r="Q98" s="302"/>
      <c r="R98" s="302"/>
      <c r="S98" s="302"/>
    </row>
    <row r="99" spans="1:19" s="301" customFormat="1" ht="45" customHeight="1" x14ac:dyDescent="0.35">
      <c r="A99" s="572" t="s">
        <v>237</v>
      </c>
      <c r="B99" s="469" t="s">
        <v>895</v>
      </c>
      <c r="C99" s="573" t="s">
        <v>98</v>
      </c>
      <c r="D99" s="574" t="s">
        <v>100</v>
      </c>
      <c r="E99" s="575">
        <v>0.6</v>
      </c>
      <c r="F99" s="576">
        <v>0.6</v>
      </c>
      <c r="G99" s="358" t="b">
        <f>E100='[6]Indicadores e Metas'!$F$98:$F$99</f>
        <v>1</v>
      </c>
      <c r="J99" s="302"/>
      <c r="K99" s="302"/>
      <c r="L99" s="302"/>
      <c r="M99" s="302"/>
      <c r="N99" s="302"/>
      <c r="O99" s="302"/>
      <c r="P99" s="302"/>
      <c r="Q99" s="302"/>
      <c r="R99" s="302"/>
      <c r="S99" s="302"/>
    </row>
    <row r="100" spans="1:19" s="301" customFormat="1" ht="45" customHeight="1" x14ac:dyDescent="0.35">
      <c r="A100" s="572"/>
      <c r="B100" s="470" t="s">
        <v>896</v>
      </c>
      <c r="C100" s="573"/>
      <c r="D100" s="579"/>
      <c r="E100" s="579"/>
      <c r="F100" s="577"/>
      <c r="H100" s="434">
        <f>170/282</f>
        <v>0.6028368794326241</v>
      </c>
      <c r="J100" s="302"/>
      <c r="K100" s="302"/>
      <c r="L100" s="302"/>
      <c r="M100" s="302"/>
      <c r="N100" s="302"/>
      <c r="O100" s="302"/>
      <c r="P100" s="302"/>
      <c r="Q100" s="302"/>
      <c r="R100" s="302"/>
      <c r="S100" s="302"/>
    </row>
    <row r="101" spans="1:19" s="301" customFormat="1" ht="79.5" customHeight="1" x14ac:dyDescent="0.35">
      <c r="A101" s="331" t="s">
        <v>39</v>
      </c>
      <c r="B101" s="578" t="s">
        <v>64</v>
      </c>
      <c r="C101" s="578"/>
      <c r="D101" s="332" t="s">
        <v>65</v>
      </c>
      <c r="E101" s="332" t="s">
        <v>239</v>
      </c>
      <c r="F101" s="332" t="s">
        <v>238</v>
      </c>
      <c r="J101" s="302"/>
      <c r="K101" s="302"/>
      <c r="L101" s="302"/>
      <c r="M101" s="302"/>
      <c r="N101" s="302"/>
      <c r="O101" s="302"/>
      <c r="P101" s="302"/>
      <c r="Q101" s="302"/>
      <c r="R101" s="302"/>
      <c r="S101" s="302"/>
    </row>
    <row r="102" spans="1:19" s="301" customFormat="1" ht="45" customHeight="1" x14ac:dyDescent="0.35">
      <c r="A102" s="572" t="s">
        <v>746</v>
      </c>
      <c r="B102" s="469" t="s">
        <v>897</v>
      </c>
      <c r="C102" s="573" t="s">
        <v>98</v>
      </c>
      <c r="D102" s="574" t="s">
        <v>100</v>
      </c>
      <c r="E102" s="575">
        <v>0.7</v>
      </c>
      <c r="F102" s="575">
        <v>0.8</v>
      </c>
      <c r="G102" s="358" t="b">
        <f>E103='[6]Indicadores e Metas'!$F$101:$F$102</f>
        <v>1</v>
      </c>
      <c r="J102" s="302"/>
      <c r="K102" s="302"/>
      <c r="L102" s="302"/>
      <c r="M102" s="302"/>
      <c r="N102" s="302"/>
      <c r="O102" s="302"/>
      <c r="P102" s="302"/>
      <c r="Q102" s="302"/>
      <c r="R102" s="302"/>
      <c r="S102" s="302"/>
    </row>
    <row r="103" spans="1:19" ht="45" customHeight="1" x14ac:dyDescent="0.35">
      <c r="A103" s="572"/>
      <c r="B103" s="345" t="s">
        <v>898</v>
      </c>
      <c r="C103" s="573"/>
      <c r="D103" s="574"/>
      <c r="E103" s="575"/>
      <c r="F103" s="575"/>
      <c r="H103" s="434">
        <f>34/43</f>
        <v>0.79069767441860461</v>
      </c>
    </row>
    <row r="104" spans="1:19" ht="45" customHeight="1" x14ac:dyDescent="0.35">
      <c r="A104" s="572" t="s">
        <v>747</v>
      </c>
      <c r="B104" s="469" t="s">
        <v>899</v>
      </c>
      <c r="C104" s="573" t="s">
        <v>98</v>
      </c>
      <c r="D104" s="574" t="s">
        <v>234</v>
      </c>
      <c r="E104" s="575">
        <v>0.7</v>
      </c>
      <c r="F104" s="576">
        <v>0.7</v>
      </c>
      <c r="G104" s="358" t="b">
        <f>E105='[6]Indicadores e Metas'!$F$103:$F$104</f>
        <v>1</v>
      </c>
    </row>
    <row r="105" spans="1:19" ht="45" customHeight="1" x14ac:dyDescent="0.35">
      <c r="A105" s="572"/>
      <c r="B105" s="345" t="s">
        <v>900</v>
      </c>
      <c r="C105" s="573"/>
      <c r="D105" s="574"/>
      <c r="E105" s="575"/>
      <c r="F105" s="576"/>
      <c r="H105" s="301">
        <f>1365/1950</f>
        <v>0.7</v>
      </c>
    </row>
    <row r="106" spans="1:19" ht="45" customHeight="1" x14ac:dyDescent="0.35"/>
    <row r="107" spans="1:19" ht="45" customHeight="1" x14ac:dyDescent="0.35"/>
    <row r="108" spans="1:19" ht="45" customHeight="1" x14ac:dyDescent="0.35"/>
    <row r="109" spans="1:19" ht="45" customHeight="1" x14ac:dyDescent="0.35"/>
    <row r="110" spans="1:19" ht="45" customHeight="1" x14ac:dyDescent="0.35"/>
    <row r="111" spans="1:19" ht="45" customHeight="1" x14ac:dyDescent="0.35"/>
    <row r="112" spans="1:19" ht="45" customHeight="1" x14ac:dyDescent="0.35"/>
    <row r="113" ht="45" customHeight="1" x14ac:dyDescent="0.35"/>
    <row r="114" ht="45" customHeight="1" x14ac:dyDescent="0.35"/>
  </sheetData>
  <mergeCells count="246">
    <mergeCell ref="A10:F10"/>
    <mergeCell ref="B11:C11"/>
    <mergeCell ref="A12:A13"/>
    <mergeCell ref="C12:C13"/>
    <mergeCell ref="D12:D13"/>
    <mergeCell ref="E12:E13"/>
    <mergeCell ref="F12:F13"/>
    <mergeCell ref="M12:M13"/>
    <mergeCell ref="A1:F1"/>
    <mergeCell ref="A2:F2"/>
    <mergeCell ref="A3:F3"/>
    <mergeCell ref="A5:F5"/>
    <mergeCell ref="B6:C6"/>
    <mergeCell ref="A7:A8"/>
    <mergeCell ref="C7:C8"/>
    <mergeCell ref="D7:D8"/>
    <mergeCell ref="E7:E8"/>
    <mergeCell ref="F7:F8"/>
    <mergeCell ref="B17:C17"/>
    <mergeCell ref="A18:A19"/>
    <mergeCell ref="C18:C19"/>
    <mergeCell ref="D18:D19"/>
    <mergeCell ref="E18:E19"/>
    <mergeCell ref="F18:F19"/>
    <mergeCell ref="A14:A15"/>
    <mergeCell ref="C14:C15"/>
    <mergeCell ref="D14:D15"/>
    <mergeCell ref="E14:E15"/>
    <mergeCell ref="F14:F15"/>
    <mergeCell ref="A16:A17"/>
    <mergeCell ref="B16:C16"/>
    <mergeCell ref="D16:D17"/>
    <mergeCell ref="E16:E17"/>
    <mergeCell ref="F16:F17"/>
    <mergeCell ref="A20:A21"/>
    <mergeCell ref="C20:C21"/>
    <mergeCell ref="D20:D21"/>
    <mergeCell ref="E20:E21"/>
    <mergeCell ref="F20:F21"/>
    <mergeCell ref="A22:A23"/>
    <mergeCell ref="C22:C23"/>
    <mergeCell ref="D22:D23"/>
    <mergeCell ref="E22:E23"/>
    <mergeCell ref="F22:F23"/>
    <mergeCell ref="A24:A25"/>
    <mergeCell ref="C24:C25"/>
    <mergeCell ref="D24:D25"/>
    <mergeCell ref="E24:E25"/>
    <mergeCell ref="F24:F25"/>
    <mergeCell ref="A26:A27"/>
    <mergeCell ref="C26:C27"/>
    <mergeCell ref="D26:D27"/>
    <mergeCell ref="E26:E27"/>
    <mergeCell ref="F26:F27"/>
    <mergeCell ref="B32:C32"/>
    <mergeCell ref="A33:A34"/>
    <mergeCell ref="C33:C34"/>
    <mergeCell ref="D33:D34"/>
    <mergeCell ref="E33:E34"/>
    <mergeCell ref="F33:F34"/>
    <mergeCell ref="A28:A29"/>
    <mergeCell ref="C28:C29"/>
    <mergeCell ref="D28:D29"/>
    <mergeCell ref="E28:E29"/>
    <mergeCell ref="F28:F29"/>
    <mergeCell ref="A30:A31"/>
    <mergeCell ref="C30:C31"/>
    <mergeCell ref="D30:D31"/>
    <mergeCell ref="E30:E31"/>
    <mergeCell ref="F30:F31"/>
    <mergeCell ref="B39:C39"/>
    <mergeCell ref="A40:A41"/>
    <mergeCell ref="C40:C41"/>
    <mergeCell ref="D40:D41"/>
    <mergeCell ref="E40:E41"/>
    <mergeCell ref="F40:F41"/>
    <mergeCell ref="A35:A36"/>
    <mergeCell ref="C35:C36"/>
    <mergeCell ref="D35:D36"/>
    <mergeCell ref="E35:E36"/>
    <mergeCell ref="F35:F36"/>
    <mergeCell ref="A37:A38"/>
    <mergeCell ref="C37:C38"/>
    <mergeCell ref="D37:D38"/>
    <mergeCell ref="E37:E38"/>
    <mergeCell ref="F37:F38"/>
    <mergeCell ref="B45:C45"/>
    <mergeCell ref="A46:A47"/>
    <mergeCell ref="C46:C47"/>
    <mergeCell ref="D46:D47"/>
    <mergeCell ref="E46:E47"/>
    <mergeCell ref="F46:F47"/>
    <mergeCell ref="A42:A43"/>
    <mergeCell ref="C42:C43"/>
    <mergeCell ref="D42:D43"/>
    <mergeCell ref="E42:E43"/>
    <mergeCell ref="F42:F43"/>
    <mergeCell ref="A44:A45"/>
    <mergeCell ref="B44:C44"/>
    <mergeCell ref="D44:D45"/>
    <mergeCell ref="E44:E45"/>
    <mergeCell ref="F44:F45"/>
    <mergeCell ref="E51:E52"/>
    <mergeCell ref="F51:F52"/>
    <mergeCell ref="A53:A54"/>
    <mergeCell ref="C53:C54"/>
    <mergeCell ref="D53:D54"/>
    <mergeCell ref="E53:E54"/>
    <mergeCell ref="F53:F54"/>
    <mergeCell ref="B48:C48"/>
    <mergeCell ref="B49:C49"/>
    <mergeCell ref="B50:C50"/>
    <mergeCell ref="A51:A52"/>
    <mergeCell ref="C51:C52"/>
    <mergeCell ref="D51:D52"/>
    <mergeCell ref="F57:F58"/>
    <mergeCell ref="A59:A60"/>
    <mergeCell ref="C59:C60"/>
    <mergeCell ref="D59:D60"/>
    <mergeCell ref="E59:E60"/>
    <mergeCell ref="F59:F60"/>
    <mergeCell ref="B55:C55"/>
    <mergeCell ref="B56:C56"/>
    <mergeCell ref="A57:A58"/>
    <mergeCell ref="C57:C58"/>
    <mergeCell ref="D57:D58"/>
    <mergeCell ref="E57:E58"/>
    <mergeCell ref="F63:F64"/>
    <mergeCell ref="A65:A66"/>
    <mergeCell ref="C65:C66"/>
    <mergeCell ref="D65:D66"/>
    <mergeCell ref="E65:E66"/>
    <mergeCell ref="F65:F66"/>
    <mergeCell ref="B61:C61"/>
    <mergeCell ref="B62:C62"/>
    <mergeCell ref="A63:A64"/>
    <mergeCell ref="C63:C64"/>
    <mergeCell ref="D63:D64"/>
    <mergeCell ref="E63:E64"/>
    <mergeCell ref="B69:C69"/>
    <mergeCell ref="A70:A71"/>
    <mergeCell ref="B70:C70"/>
    <mergeCell ref="D70:D71"/>
    <mergeCell ref="E70:E71"/>
    <mergeCell ref="F70:F71"/>
    <mergeCell ref="B71:C71"/>
    <mergeCell ref="A67:A68"/>
    <mergeCell ref="B67:C67"/>
    <mergeCell ref="D67:D68"/>
    <mergeCell ref="E67:E68"/>
    <mergeCell ref="F67:F68"/>
    <mergeCell ref="B68:C68"/>
    <mergeCell ref="B76:C76"/>
    <mergeCell ref="A77:A78"/>
    <mergeCell ref="B77:C77"/>
    <mergeCell ref="D77:D78"/>
    <mergeCell ref="E77:E78"/>
    <mergeCell ref="F77:F78"/>
    <mergeCell ref="B78:C78"/>
    <mergeCell ref="A72:A73"/>
    <mergeCell ref="C72:C73"/>
    <mergeCell ref="D72:D73"/>
    <mergeCell ref="E72:E73"/>
    <mergeCell ref="F72:F73"/>
    <mergeCell ref="A74:A75"/>
    <mergeCell ref="C74:C75"/>
    <mergeCell ref="D74:D75"/>
    <mergeCell ref="E74:E75"/>
    <mergeCell ref="F74:F75"/>
    <mergeCell ref="A79:A80"/>
    <mergeCell ref="C79:C80"/>
    <mergeCell ref="D79:D80"/>
    <mergeCell ref="E79:E80"/>
    <mergeCell ref="F79:F80"/>
    <mergeCell ref="A81:A82"/>
    <mergeCell ref="B81:C81"/>
    <mergeCell ref="D81:D82"/>
    <mergeCell ref="E81:E82"/>
    <mergeCell ref="F81:F82"/>
    <mergeCell ref="A85:A86"/>
    <mergeCell ref="C85:C86"/>
    <mergeCell ref="D85:D86"/>
    <mergeCell ref="E85:E86"/>
    <mergeCell ref="F85:F86"/>
    <mergeCell ref="B87:C87"/>
    <mergeCell ref="B82:C82"/>
    <mergeCell ref="A83:A84"/>
    <mergeCell ref="C83:C84"/>
    <mergeCell ref="D83:D84"/>
    <mergeCell ref="E83:E84"/>
    <mergeCell ref="F83:F84"/>
    <mergeCell ref="A88:A89"/>
    <mergeCell ref="C88:C89"/>
    <mergeCell ref="D88:D89"/>
    <mergeCell ref="E88:E89"/>
    <mergeCell ref="F88:F89"/>
    <mergeCell ref="A90:A91"/>
    <mergeCell ref="C90:C91"/>
    <mergeCell ref="D90:D91"/>
    <mergeCell ref="E90:E91"/>
    <mergeCell ref="F90:F91"/>
    <mergeCell ref="B95:C95"/>
    <mergeCell ref="D95:D96"/>
    <mergeCell ref="E95:E96"/>
    <mergeCell ref="F95:F96"/>
    <mergeCell ref="B96:C96"/>
    <mergeCell ref="A92:A93"/>
    <mergeCell ref="C92:C93"/>
    <mergeCell ref="D92:D93"/>
    <mergeCell ref="E92:E93"/>
    <mergeCell ref="F92:F93"/>
    <mergeCell ref="B94:C94"/>
    <mergeCell ref="M30:M31"/>
    <mergeCell ref="I76:L76"/>
    <mergeCell ref="I78:L78"/>
    <mergeCell ref="I94:L94"/>
    <mergeCell ref="I95:L96"/>
    <mergeCell ref="A104:A105"/>
    <mergeCell ref="C104:C105"/>
    <mergeCell ref="D104:D105"/>
    <mergeCell ref="E104:E105"/>
    <mergeCell ref="F104:F105"/>
    <mergeCell ref="F99:F100"/>
    <mergeCell ref="B101:C101"/>
    <mergeCell ref="A102:A103"/>
    <mergeCell ref="C102:C103"/>
    <mergeCell ref="D102:D103"/>
    <mergeCell ref="E102:E103"/>
    <mergeCell ref="F102:F103"/>
    <mergeCell ref="B97:C97"/>
    <mergeCell ref="B98:C98"/>
    <mergeCell ref="A99:A100"/>
    <mergeCell ref="C99:C100"/>
    <mergeCell ref="D99:D100"/>
    <mergeCell ref="E99:E100"/>
    <mergeCell ref="A95:A96"/>
    <mergeCell ref="M14:M15"/>
    <mergeCell ref="M16:M17"/>
    <mergeCell ref="M18:M19"/>
    <mergeCell ref="M20:M21"/>
    <mergeCell ref="M22:M23"/>
    <mergeCell ref="M24:M25"/>
    <mergeCell ref="M26:M27"/>
    <mergeCell ref="M28:M29"/>
    <mergeCell ref="I5:I6"/>
    <mergeCell ref="J5:Q6"/>
  </mergeCells>
  <conditionalFormatting sqref="G12 G14 G16 G18 G20 G22 G24 G26 G28 G30 G33:G35 G42 G44 G46:G47 G51 G53 G59 G65 G67 G70 G72 G74 G77 G79 G81 G83 G85 G88 G90 G92 G95 G99 G102 G104">
    <cfRule type="cellIs" dxfId="21" priority="8" operator="greaterThan">
      <formula>0</formula>
    </cfRule>
  </conditionalFormatting>
  <conditionalFormatting sqref="G7">
    <cfRule type="cellIs" dxfId="20" priority="6" operator="greaterThan">
      <formula>0</formula>
    </cfRule>
  </conditionalFormatting>
  <conditionalFormatting sqref="G49 G56 G61 G98">
    <cfRule type="cellIs" dxfId="19" priority="5" operator="greaterThan">
      <formula>"v"</formula>
    </cfRule>
  </conditionalFormatting>
  <conditionalFormatting sqref="G40">
    <cfRule type="cellIs" dxfId="18" priority="4" operator="greaterThan">
      <formula>0</formula>
    </cfRule>
  </conditionalFormatting>
  <conditionalFormatting sqref="G57">
    <cfRule type="cellIs" dxfId="17" priority="3" operator="greaterThan">
      <formula>"v"</formula>
    </cfRule>
  </conditionalFormatting>
  <conditionalFormatting sqref="G63">
    <cfRule type="cellIs" dxfId="16" priority="2" operator="greaterThan">
      <formula>0</formula>
    </cfRule>
  </conditionalFormatting>
  <conditionalFormatting sqref="G37">
    <cfRule type="cellIs" dxfId="15" priority="1" operator="greaterThan">
      <formula>0</formula>
    </cfRule>
  </conditionalFormatting>
  <pageMargins left="0.23622047244094488" right="0.23622047244094488" top="0.74803149606299213" bottom="0.74803149606299213" header="0.31496062992125984" footer="0.31496062992125984"/>
  <pageSetup paperSize="9" scale="35" fitToHeight="0" orientation="portrait"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Plan5">
    <tabColor rgb="FF777777"/>
  </sheetPr>
  <dimension ref="A1:AT61"/>
  <sheetViews>
    <sheetView showGridLines="0" topLeftCell="Q3" zoomScale="60" zoomScaleNormal="60" zoomScaleSheetLayoutView="80" workbookViewId="0">
      <selection activeCell="AF3" sqref="AF3"/>
    </sheetView>
  </sheetViews>
  <sheetFormatPr defaultColWidth="69.7109375" defaultRowHeight="21" x14ac:dyDescent="0.35"/>
  <cols>
    <col min="1" max="1" width="69.7109375" style="1" customWidth="1"/>
    <col min="2" max="2" width="14.28515625" style="1" customWidth="1"/>
    <col min="3" max="3" width="27.42578125" style="1" customWidth="1"/>
    <col min="4" max="4" width="6" style="1" customWidth="1"/>
    <col min="5" max="5" width="99.5703125" style="1" customWidth="1"/>
    <col min="6" max="6" width="165.85546875" style="1" customWidth="1"/>
    <col min="7" max="7" width="69.7109375" style="1" customWidth="1"/>
    <col min="8" max="8" width="55.85546875" style="1" customWidth="1"/>
    <col min="9" max="9" width="69.7109375" style="1" customWidth="1"/>
    <col min="10" max="10" width="32.5703125" style="1" bestFit="1" customWidth="1"/>
    <col min="11" max="11" width="40.5703125" style="1" bestFit="1" customWidth="1"/>
    <col min="12" max="12" width="40.140625" style="1" bestFit="1" customWidth="1"/>
    <col min="13" max="13" width="37.140625" style="1" bestFit="1" customWidth="1"/>
    <col min="14" max="14" width="22.85546875" style="1" customWidth="1"/>
    <col min="15" max="15" width="22.5703125" style="1" hidden="1" customWidth="1"/>
    <col min="16" max="16" width="43.28515625" style="1" hidden="1" customWidth="1"/>
    <col min="17" max="17" width="23.28515625" style="1" customWidth="1"/>
    <col min="18" max="18" width="23.28515625" style="1" bestFit="1" customWidth="1"/>
    <col min="19" max="19" width="23.28515625" style="1" hidden="1" customWidth="1"/>
    <col min="20" max="20" width="29.28515625" style="1" hidden="1" customWidth="1"/>
    <col min="21" max="21" width="20.42578125" style="1" hidden="1" customWidth="1"/>
    <col min="22" max="22" width="28.28515625" style="1" hidden="1" customWidth="1"/>
    <col min="23" max="23" width="27.85546875" style="1" hidden="1" customWidth="1"/>
    <col min="24" max="24" width="28.5703125" style="1" hidden="1" customWidth="1"/>
    <col min="25" max="25" width="19" style="1" hidden="1" customWidth="1"/>
    <col min="26" max="26" width="33.5703125" style="1" hidden="1" customWidth="1"/>
    <col min="27" max="27" width="24.7109375" style="1" hidden="1" customWidth="1"/>
    <col min="28" max="28" width="19.7109375" style="308" customWidth="1"/>
    <col min="29" max="29" width="18.5703125" style="1" customWidth="1"/>
    <col min="30" max="30" width="27.5703125" style="1" customWidth="1"/>
    <col min="31" max="31" width="18.5703125" style="1" customWidth="1"/>
    <col min="32" max="32" width="15.7109375" style="1" customWidth="1"/>
    <col min="33" max="33" width="23.5703125" style="1" customWidth="1"/>
    <col min="34" max="34" width="30.7109375" style="1" customWidth="1"/>
    <col min="35" max="35" width="22.85546875" style="1" customWidth="1"/>
    <col min="36" max="36" width="16.140625" style="1" customWidth="1"/>
    <col min="37" max="37" width="23.5703125" style="1" customWidth="1"/>
    <col min="38" max="16384" width="69.7109375" style="1"/>
  </cols>
  <sheetData>
    <row r="1" spans="1:36" x14ac:dyDescent="0.35">
      <c r="AG1" s="448"/>
      <c r="AH1" s="448"/>
    </row>
    <row r="2" spans="1:36" x14ac:dyDescent="0.35">
      <c r="A2" s="603" t="s">
        <v>245</v>
      </c>
      <c r="B2" s="603"/>
      <c r="C2" s="603"/>
      <c r="D2" s="603"/>
      <c r="E2" s="603"/>
      <c r="F2" s="603"/>
      <c r="G2" s="603"/>
      <c r="H2" s="603"/>
      <c r="I2" s="603"/>
      <c r="J2" s="603"/>
      <c r="K2" s="603"/>
      <c r="L2" s="603"/>
      <c r="M2" s="603"/>
      <c r="N2" s="603"/>
      <c r="O2" s="603"/>
      <c r="P2" s="603"/>
      <c r="Q2" s="603"/>
      <c r="R2" s="603"/>
      <c r="S2" s="352"/>
      <c r="AG2" s="448"/>
      <c r="AH2" s="448"/>
    </row>
    <row r="3" spans="1:36" s="2" customFormat="1" ht="26.25" x14ac:dyDescent="0.25">
      <c r="A3" s="622" t="str">
        <f>'Indicadores e Metas'!A2:F2</f>
        <v>CAU/UF: CONSELHO DE ARQUITETURA E URBANISMO DO ESTADO DE MINAS GERAIS</v>
      </c>
      <c r="B3" s="623"/>
      <c r="C3" s="623"/>
      <c r="D3" s="623"/>
      <c r="E3" s="623"/>
      <c r="F3" s="623"/>
      <c r="G3" s="623"/>
      <c r="H3" s="623"/>
      <c r="I3" s="623"/>
      <c r="J3" s="623"/>
      <c r="K3" s="623"/>
      <c r="L3" s="623"/>
      <c r="M3" s="623"/>
      <c r="N3" s="623"/>
      <c r="O3" s="623"/>
      <c r="P3" s="623"/>
      <c r="Q3" s="623"/>
      <c r="R3" s="624"/>
      <c r="S3" s="380"/>
      <c r="AB3" s="439"/>
      <c r="AG3" s="449" t="s">
        <v>305</v>
      </c>
      <c r="AH3" s="449" t="s">
        <v>308</v>
      </c>
      <c r="AI3" s="2" t="s">
        <v>313</v>
      </c>
    </row>
    <row r="4" spans="1:36" s="2" customFormat="1" ht="26.25" x14ac:dyDescent="0.25">
      <c r="A4" s="605"/>
      <c r="B4" s="605"/>
      <c r="C4" s="605"/>
      <c r="D4" s="605"/>
      <c r="E4" s="605"/>
      <c r="F4" s="605"/>
      <c r="G4" s="605"/>
      <c r="H4" s="605"/>
      <c r="I4" s="605"/>
      <c r="J4" s="605"/>
      <c r="K4" s="605"/>
      <c r="L4" s="605"/>
      <c r="M4" s="605"/>
      <c r="N4" s="605"/>
      <c r="O4" s="297"/>
      <c r="P4" s="297"/>
      <c r="Q4" s="297"/>
      <c r="R4" s="298"/>
      <c r="S4" s="381"/>
      <c r="AB4" s="439"/>
      <c r="AG4" s="449" t="s">
        <v>306</v>
      </c>
      <c r="AH4" s="449" t="s">
        <v>309</v>
      </c>
    </row>
    <row r="5" spans="1:36" s="7" customFormat="1" ht="12.75" customHeight="1" x14ac:dyDescent="0.35">
      <c r="A5" s="21"/>
      <c r="B5" s="21"/>
      <c r="C5" s="21"/>
      <c r="D5" s="21"/>
      <c r="E5" s="21"/>
      <c r="F5" s="21"/>
      <c r="G5" s="21"/>
      <c r="H5" s="21"/>
      <c r="I5" s="21"/>
      <c r="J5" s="21"/>
      <c r="K5" s="21"/>
      <c r="L5" s="21"/>
      <c r="M5" s="21"/>
      <c r="N5" s="21"/>
      <c r="O5" s="21"/>
      <c r="P5" s="21"/>
      <c r="Q5" s="21"/>
      <c r="R5" s="21"/>
      <c r="S5" s="21"/>
      <c r="AB5" s="440"/>
      <c r="AG5" s="450" t="s">
        <v>307</v>
      </c>
      <c r="AH5" s="449" t="s">
        <v>310</v>
      </c>
    </row>
    <row r="6" spans="1:36" s="2" customFormat="1" ht="26.25" x14ac:dyDescent="0.25">
      <c r="A6" s="627" t="s">
        <v>78</v>
      </c>
      <c r="B6" s="628"/>
      <c r="C6" s="628"/>
      <c r="D6" s="628"/>
      <c r="E6" s="628"/>
      <c r="F6" s="628"/>
      <c r="G6" s="628"/>
      <c r="H6" s="628"/>
      <c r="I6" s="628"/>
      <c r="J6" s="628"/>
      <c r="K6" s="628"/>
      <c r="L6" s="628"/>
      <c r="M6" s="628"/>
      <c r="N6" s="621"/>
      <c r="O6" s="629"/>
      <c r="P6" s="629"/>
      <c r="Q6" s="629"/>
      <c r="R6" s="629" t="s">
        <v>23</v>
      </c>
      <c r="S6" s="380"/>
      <c r="AB6" s="439"/>
      <c r="AG6" s="449"/>
      <c r="AH6" s="449" t="s">
        <v>311</v>
      </c>
    </row>
    <row r="7" spans="1:36" s="2" customFormat="1" ht="26.25" x14ac:dyDescent="0.25">
      <c r="A7" s="607" t="s">
        <v>4</v>
      </c>
      <c r="B7" s="607" t="s">
        <v>185</v>
      </c>
      <c r="C7" s="607" t="s">
        <v>187</v>
      </c>
      <c r="D7" s="607" t="s">
        <v>188</v>
      </c>
      <c r="E7" s="607" t="s">
        <v>5</v>
      </c>
      <c r="F7" s="607" t="s">
        <v>61</v>
      </c>
      <c r="G7" s="607" t="s">
        <v>41</v>
      </c>
      <c r="H7" s="607" t="s">
        <v>177</v>
      </c>
      <c r="I7" s="607" t="s">
        <v>79</v>
      </c>
      <c r="J7" s="607" t="s">
        <v>240</v>
      </c>
      <c r="K7" s="620" t="s">
        <v>241</v>
      </c>
      <c r="L7" s="621"/>
      <c r="M7" s="614" t="s">
        <v>244</v>
      </c>
      <c r="N7" s="625" t="s">
        <v>199</v>
      </c>
      <c r="O7" s="612" t="s">
        <v>200</v>
      </c>
      <c r="P7" s="612" t="s">
        <v>201</v>
      </c>
      <c r="Q7" s="620" t="s">
        <v>246</v>
      </c>
      <c r="R7" s="621"/>
      <c r="S7" s="355"/>
      <c r="AB7" s="439"/>
      <c r="AG7" s="449"/>
      <c r="AH7" s="449" t="s">
        <v>312</v>
      </c>
    </row>
    <row r="8" spans="1:36" s="2" customFormat="1" ht="90.75" customHeight="1" x14ac:dyDescent="0.25">
      <c r="A8" s="608"/>
      <c r="B8" s="608"/>
      <c r="C8" s="608"/>
      <c r="D8" s="608"/>
      <c r="E8" s="608"/>
      <c r="F8" s="608"/>
      <c r="G8" s="608"/>
      <c r="H8" s="608"/>
      <c r="I8" s="608"/>
      <c r="J8" s="608"/>
      <c r="K8" s="64" t="s">
        <v>242</v>
      </c>
      <c r="L8" s="65" t="s">
        <v>243</v>
      </c>
      <c r="M8" s="607"/>
      <c r="N8" s="626"/>
      <c r="O8" s="613"/>
      <c r="P8" s="613"/>
      <c r="Q8" s="75" t="s">
        <v>202</v>
      </c>
      <c r="R8" s="75" t="s">
        <v>203</v>
      </c>
      <c r="S8" s="355" t="s">
        <v>772</v>
      </c>
      <c r="T8" s="348"/>
      <c r="AG8" s="449"/>
      <c r="AH8" s="449" t="s">
        <v>307</v>
      </c>
    </row>
    <row r="9" spans="1:36" s="2" customFormat="1" ht="148.5" customHeight="1" x14ac:dyDescent="0.25">
      <c r="A9" s="193" t="s">
        <v>588</v>
      </c>
      <c r="B9" s="194" t="s">
        <v>306</v>
      </c>
      <c r="C9" s="22" t="s">
        <v>310</v>
      </c>
      <c r="D9" s="22"/>
      <c r="E9" s="221" t="s">
        <v>589</v>
      </c>
      <c r="F9" s="23" t="s">
        <v>590</v>
      </c>
      <c r="G9" s="195" t="s">
        <v>32</v>
      </c>
      <c r="H9" s="23" t="s">
        <v>109</v>
      </c>
      <c r="I9" s="23" t="s">
        <v>591</v>
      </c>
      <c r="J9" s="196">
        <v>362486.09400000004</v>
      </c>
      <c r="K9" s="196">
        <f>'Anexo 4.Quadro Descritivo.'!E17</f>
        <v>106189.49</v>
      </c>
      <c r="L9" s="196">
        <f>'Anexo 4.Quadro Descritivo.'!F17</f>
        <v>299678.22038250003</v>
      </c>
      <c r="M9" s="295">
        <f t="shared" ref="M9:M47" si="0">K9+L9</f>
        <v>405867.71038250002</v>
      </c>
      <c r="N9" s="32"/>
      <c r="O9" s="67"/>
      <c r="P9" s="67">
        <f>IFERROR(O9/M9*100,)</f>
        <v>0</v>
      </c>
      <c r="Q9" s="346">
        <f t="shared" ref="Q9:Q47" si="1">M9-J9</f>
        <v>43381.616382499982</v>
      </c>
      <c r="R9" s="490">
        <f>Q9/J9*100</f>
        <v>11.967801551719658</v>
      </c>
      <c r="S9" s="385">
        <v>106189.49</v>
      </c>
      <c r="T9" s="2" t="b">
        <f>A9=[6]FORM.2!A6</f>
        <v>1</v>
      </c>
      <c r="U9" s="2" t="b">
        <f>B9=[6]FORM.2!B6</f>
        <v>1</v>
      </c>
      <c r="V9" s="2" t="b">
        <f>E9=[6]FORM.2!D6</f>
        <v>1</v>
      </c>
      <c r="W9" s="2" t="b">
        <f>F9=[6]FORM.2!E6</f>
        <v>1</v>
      </c>
      <c r="X9" s="2" t="b">
        <f>G9=[6]FORM.2!F6</f>
        <v>1</v>
      </c>
      <c r="Y9" s="2" t="b">
        <f>H9=[6]FORM.2!G6</f>
        <v>1</v>
      </c>
      <c r="Z9" s="2" t="b">
        <f>I9=[6]FORM.2!H6</f>
        <v>1</v>
      </c>
      <c r="AA9" s="379" t="b">
        <f>J9=[6]FORM.2!J6</f>
        <v>1</v>
      </c>
      <c r="AB9" s="468"/>
      <c r="AD9" s="447"/>
      <c r="AE9" s="619"/>
      <c r="AF9" s="619"/>
      <c r="AG9" s="619"/>
      <c r="AH9" s="619"/>
      <c r="AI9" s="619"/>
      <c r="AJ9" s="466"/>
    </row>
    <row r="10" spans="1:36" s="2" customFormat="1" ht="189" x14ac:dyDescent="0.25">
      <c r="A10" s="193" t="s">
        <v>592</v>
      </c>
      <c r="B10" s="194" t="s">
        <v>306</v>
      </c>
      <c r="C10" s="22" t="s">
        <v>308</v>
      </c>
      <c r="D10" s="22"/>
      <c r="E10" s="221" t="s">
        <v>323</v>
      </c>
      <c r="F10" s="23" t="s">
        <v>593</v>
      </c>
      <c r="G10" s="195" t="s">
        <v>34</v>
      </c>
      <c r="H10" s="23" t="s">
        <v>107</v>
      </c>
      <c r="I10" s="23" t="s">
        <v>594</v>
      </c>
      <c r="J10" s="196">
        <v>27999.999345351011</v>
      </c>
      <c r="K10" s="196">
        <f>'Anexo 4.Quadro Descritivo.'!E51</f>
        <v>0</v>
      </c>
      <c r="L10" s="196">
        <f>'Anexo 4.Quadro Descritivo.'!F51</f>
        <v>27999.999000000003</v>
      </c>
      <c r="M10" s="295">
        <f t="shared" si="0"/>
        <v>27999.999000000003</v>
      </c>
      <c r="N10" s="32"/>
      <c r="O10" s="67"/>
      <c r="P10" s="67">
        <f t="shared" ref="P10:P47" si="2">IFERROR(O10/M10*100,)</f>
        <v>0</v>
      </c>
      <c r="Q10" s="346">
        <f t="shared" si="1"/>
        <v>-3.4535100712673739E-4</v>
      </c>
      <c r="R10" s="490">
        <f t="shared" ref="R10:R48" si="3">Q10/J10*100</f>
        <v>-1.2333964828612678E-6</v>
      </c>
      <c r="S10" s="385">
        <v>0</v>
      </c>
      <c r="T10" s="2" t="b">
        <f>A10=[6]FORM.2!A7</f>
        <v>1</v>
      </c>
      <c r="U10" s="2" t="b">
        <f>B10=[6]FORM.2!B7</f>
        <v>1</v>
      </c>
      <c r="V10" s="2" t="b">
        <f>E10=[6]FORM.2!D7</f>
        <v>1</v>
      </c>
      <c r="W10" s="2" t="b">
        <f>F10=[6]FORM.2!E7</f>
        <v>1</v>
      </c>
      <c r="X10" s="2" t="b">
        <f>G10=[6]FORM.2!F7</f>
        <v>1</v>
      </c>
      <c r="Y10" s="2" t="b">
        <f>H10=[6]FORM.2!G7</f>
        <v>1</v>
      </c>
      <c r="Z10" s="2" t="b">
        <f>I10=[6]FORM.2!H7</f>
        <v>1</v>
      </c>
      <c r="AA10" s="379" t="b">
        <f>J10=[6]FORM.2!J7</f>
        <v>1</v>
      </c>
      <c r="AB10" s="468"/>
      <c r="AD10" s="447"/>
      <c r="AE10" s="447"/>
      <c r="AF10" s="447"/>
      <c r="AG10" s="447"/>
      <c r="AH10" s="447"/>
      <c r="AI10" s="447"/>
      <c r="AJ10" s="447"/>
    </row>
    <row r="11" spans="1:36" s="2" customFormat="1" ht="126" x14ac:dyDescent="0.25">
      <c r="A11" s="193" t="s">
        <v>595</v>
      </c>
      <c r="B11" s="194" t="s">
        <v>306</v>
      </c>
      <c r="C11" s="22" t="s">
        <v>308</v>
      </c>
      <c r="D11" s="22"/>
      <c r="E11" s="221" t="s">
        <v>347</v>
      </c>
      <c r="F11" s="23" t="s">
        <v>596</v>
      </c>
      <c r="G11" s="195" t="s">
        <v>180</v>
      </c>
      <c r="H11" s="23" t="s">
        <v>110</v>
      </c>
      <c r="I11" s="23" t="s">
        <v>597</v>
      </c>
      <c r="J11" s="196">
        <v>16000</v>
      </c>
      <c r="K11" s="196">
        <f>'Anexo 4.Quadro Descritivo.'!E78</f>
        <v>0</v>
      </c>
      <c r="L11" s="196">
        <f>'Anexo 4.Quadro Descritivo.'!F78</f>
        <v>16000</v>
      </c>
      <c r="M11" s="295">
        <f t="shared" si="0"/>
        <v>16000</v>
      </c>
      <c r="N11" s="32"/>
      <c r="O11" s="67"/>
      <c r="P11" s="67">
        <f t="shared" si="2"/>
        <v>0</v>
      </c>
      <c r="Q11" s="346">
        <f t="shared" si="1"/>
        <v>0</v>
      </c>
      <c r="R11" s="490">
        <f t="shared" si="3"/>
        <v>0</v>
      </c>
      <c r="S11" s="385">
        <v>0</v>
      </c>
      <c r="T11" s="2" t="b">
        <f>A11=[6]FORM.2!A8</f>
        <v>1</v>
      </c>
      <c r="U11" s="2" t="b">
        <f>B11=[6]FORM.2!B8</f>
        <v>1</v>
      </c>
      <c r="V11" s="2" t="b">
        <f>E11=[6]FORM.2!D8</f>
        <v>1</v>
      </c>
      <c r="W11" s="2" t="b">
        <f>F11=[6]FORM.2!E8</f>
        <v>1</v>
      </c>
      <c r="X11" s="2" t="b">
        <f>G11=[6]FORM.2!F8</f>
        <v>1</v>
      </c>
      <c r="Y11" s="2" t="b">
        <f>H11=[6]FORM.2!G8</f>
        <v>1</v>
      </c>
      <c r="Z11" s="2" t="b">
        <f>I11=[6]FORM.2!H8</f>
        <v>1</v>
      </c>
      <c r="AA11" s="379" t="b">
        <f>J11=[6]FORM.2!J8</f>
        <v>1</v>
      </c>
      <c r="AB11" s="468"/>
      <c r="AD11" s="447"/>
      <c r="AE11" s="447"/>
      <c r="AF11" s="447"/>
      <c r="AG11" s="447"/>
      <c r="AH11" s="447"/>
      <c r="AI11" s="447"/>
      <c r="AJ11" s="447"/>
    </row>
    <row r="12" spans="1:36" s="2" customFormat="1" ht="69.75" x14ac:dyDescent="0.25">
      <c r="A12" s="193" t="s">
        <v>595</v>
      </c>
      <c r="B12" s="194" t="s">
        <v>305</v>
      </c>
      <c r="C12" s="22" t="s">
        <v>308</v>
      </c>
      <c r="D12" s="22"/>
      <c r="E12" s="221" t="s">
        <v>363</v>
      </c>
      <c r="F12" s="23" t="s">
        <v>598</v>
      </c>
      <c r="G12" s="195" t="s">
        <v>29</v>
      </c>
      <c r="H12" s="23" t="s">
        <v>109</v>
      </c>
      <c r="I12" s="23" t="s">
        <v>599</v>
      </c>
      <c r="J12" s="196">
        <v>100000</v>
      </c>
      <c r="K12" s="196">
        <f>'Anexo 4.Quadro Descritivo.'!E89</f>
        <v>0</v>
      </c>
      <c r="L12" s="196">
        <f>'Anexo 4.Quadro Descritivo.'!F89</f>
        <v>100000</v>
      </c>
      <c r="M12" s="295">
        <f t="shared" si="0"/>
        <v>100000</v>
      </c>
      <c r="N12" s="32"/>
      <c r="O12" s="67"/>
      <c r="P12" s="67">
        <f t="shared" si="2"/>
        <v>0</v>
      </c>
      <c r="Q12" s="346">
        <f t="shared" si="1"/>
        <v>0</v>
      </c>
      <c r="R12" s="490">
        <f t="shared" si="3"/>
        <v>0</v>
      </c>
      <c r="S12" s="385">
        <v>0</v>
      </c>
      <c r="T12" s="2" t="b">
        <f>A12=[6]FORM.2!A9</f>
        <v>1</v>
      </c>
      <c r="U12" s="2" t="b">
        <f>B12=[6]FORM.2!B9</f>
        <v>1</v>
      </c>
      <c r="V12" s="2" t="b">
        <f>E12=[6]FORM.2!D9</f>
        <v>1</v>
      </c>
      <c r="W12" s="2" t="b">
        <f>F12=[6]FORM.2!E9</f>
        <v>1</v>
      </c>
      <c r="X12" s="2" t="b">
        <f>G12=[6]FORM.2!F9</f>
        <v>1</v>
      </c>
      <c r="Y12" s="2" t="b">
        <f>H12=[6]FORM.2!G9</f>
        <v>1</v>
      </c>
      <c r="Z12" s="2" t="b">
        <f>I12=[6]FORM.2!H9</f>
        <v>1</v>
      </c>
      <c r="AA12" s="379" t="b">
        <f>J12=[6]FORM.2!J9</f>
        <v>1</v>
      </c>
      <c r="AB12" s="468"/>
      <c r="AD12" s="447"/>
      <c r="AE12" s="447"/>
      <c r="AF12" s="438"/>
      <c r="AG12" s="438"/>
      <c r="AH12" s="438"/>
      <c r="AI12" s="438"/>
      <c r="AJ12" s="438"/>
    </row>
    <row r="13" spans="1:36" s="2" customFormat="1" ht="126" x14ac:dyDescent="0.25">
      <c r="A13" s="193" t="s">
        <v>600</v>
      </c>
      <c r="B13" s="194" t="s">
        <v>306</v>
      </c>
      <c r="C13" s="22" t="s">
        <v>310</v>
      </c>
      <c r="D13" s="22"/>
      <c r="E13" s="221" t="s">
        <v>365</v>
      </c>
      <c r="F13" s="23" t="s">
        <v>601</v>
      </c>
      <c r="G13" s="195" t="s">
        <v>36</v>
      </c>
      <c r="H13" s="23" t="s">
        <v>109</v>
      </c>
      <c r="I13" s="23" t="s">
        <v>602</v>
      </c>
      <c r="J13" s="196">
        <v>64000</v>
      </c>
      <c r="K13" s="196">
        <f>'Anexo 4.Quadro Descritivo.'!E122</f>
        <v>0</v>
      </c>
      <c r="L13" s="196">
        <f>'Anexo 4.Quadro Descritivo.'!F122</f>
        <v>90935</v>
      </c>
      <c r="M13" s="295">
        <f t="shared" si="0"/>
        <v>90935</v>
      </c>
      <c r="N13" s="32"/>
      <c r="O13" s="67"/>
      <c r="P13" s="67">
        <f t="shared" si="2"/>
        <v>0</v>
      </c>
      <c r="Q13" s="346">
        <f t="shared" si="1"/>
        <v>26935</v>
      </c>
      <c r="R13" s="490">
        <f t="shared" si="3"/>
        <v>42.0859375</v>
      </c>
      <c r="S13" s="385">
        <v>0</v>
      </c>
      <c r="T13" s="2" t="b">
        <f>A13=[6]FORM.2!A10</f>
        <v>1</v>
      </c>
      <c r="U13" s="2" t="b">
        <f>B13=[6]FORM.2!B10</f>
        <v>1</v>
      </c>
      <c r="V13" s="2" t="b">
        <f>E13=[6]FORM.2!D10</f>
        <v>1</v>
      </c>
      <c r="W13" s="2" t="b">
        <f>F13=[6]FORM.2!E10</f>
        <v>1</v>
      </c>
      <c r="X13" s="2" t="b">
        <f>G13=[6]FORM.2!F10</f>
        <v>1</v>
      </c>
      <c r="Y13" s="2" t="b">
        <f>H13=[6]FORM.2!G10</f>
        <v>1</v>
      </c>
      <c r="Z13" s="2" t="b">
        <f>I13=[6]FORM.2!H10</f>
        <v>1</v>
      </c>
      <c r="AA13" s="379" t="b">
        <f>J13=[6]FORM.2!J10</f>
        <v>1</v>
      </c>
      <c r="AB13" s="468"/>
    </row>
    <row r="14" spans="1:36" s="2" customFormat="1" ht="105" x14ac:dyDescent="0.25">
      <c r="A14" s="193" t="s">
        <v>603</v>
      </c>
      <c r="B14" s="194" t="s">
        <v>306</v>
      </c>
      <c r="C14" s="22" t="s">
        <v>308</v>
      </c>
      <c r="D14" s="22"/>
      <c r="E14" s="221" t="s">
        <v>387</v>
      </c>
      <c r="F14" s="23" t="s">
        <v>604</v>
      </c>
      <c r="G14" s="195" t="s">
        <v>150</v>
      </c>
      <c r="H14" s="23" t="s">
        <v>113</v>
      </c>
      <c r="I14" s="23" t="s">
        <v>605</v>
      </c>
      <c r="J14" s="196">
        <v>92000</v>
      </c>
      <c r="K14" s="196">
        <f>'Anexo 4.Quadro Descritivo.'!E144</f>
        <v>0</v>
      </c>
      <c r="L14" s="196">
        <f>'Anexo 4.Quadro Descritivo.'!F144</f>
        <v>92000</v>
      </c>
      <c r="M14" s="295">
        <f t="shared" si="0"/>
        <v>92000</v>
      </c>
      <c r="N14" s="32"/>
      <c r="O14" s="67"/>
      <c r="P14" s="67">
        <f t="shared" si="2"/>
        <v>0</v>
      </c>
      <c r="Q14" s="346">
        <f t="shared" si="1"/>
        <v>0</v>
      </c>
      <c r="R14" s="490">
        <f t="shared" si="3"/>
        <v>0</v>
      </c>
      <c r="S14" s="385">
        <v>0</v>
      </c>
      <c r="T14" s="2" t="b">
        <f>A14=[6]FORM.2!A11</f>
        <v>1</v>
      </c>
      <c r="U14" s="2" t="b">
        <f>B14=[6]FORM.2!B11</f>
        <v>1</v>
      </c>
      <c r="V14" s="2" t="b">
        <f>E14=[6]FORM.2!D11</f>
        <v>1</v>
      </c>
      <c r="W14" s="2" t="b">
        <f>F14=[6]FORM.2!E11</f>
        <v>1</v>
      </c>
      <c r="X14" s="2" t="b">
        <f>G14=[6]FORM.2!F11</f>
        <v>1</v>
      </c>
      <c r="Y14" s="2" t="b">
        <f>H14=[6]FORM.2!G11</f>
        <v>1</v>
      </c>
      <c r="Z14" s="2" t="b">
        <f>I14=[6]FORM.2!H11</f>
        <v>1</v>
      </c>
      <c r="AA14" s="379" t="b">
        <f>J14=[6]FORM.2!J11</f>
        <v>1</v>
      </c>
      <c r="AB14" s="468"/>
    </row>
    <row r="15" spans="1:36" s="2" customFormat="1" ht="105" x14ac:dyDescent="0.25">
      <c r="A15" s="193" t="s">
        <v>606</v>
      </c>
      <c r="B15" s="194" t="s">
        <v>306</v>
      </c>
      <c r="C15" s="22" t="s">
        <v>308</v>
      </c>
      <c r="D15" s="22"/>
      <c r="E15" s="221" t="s">
        <v>399</v>
      </c>
      <c r="F15" s="23" t="s">
        <v>601</v>
      </c>
      <c r="G15" s="195" t="s">
        <v>33</v>
      </c>
      <c r="H15" s="23" t="s">
        <v>109</v>
      </c>
      <c r="I15" s="23" t="s">
        <v>607</v>
      </c>
      <c r="J15" s="196">
        <v>76000</v>
      </c>
      <c r="K15" s="196">
        <f>'Anexo 4.Quadro Descritivo.'!E163</f>
        <v>0</v>
      </c>
      <c r="L15" s="196">
        <f>'Anexo 4.Quadro Descritivo.'!F163</f>
        <v>76000</v>
      </c>
      <c r="M15" s="295">
        <f t="shared" si="0"/>
        <v>76000</v>
      </c>
      <c r="N15" s="32"/>
      <c r="O15" s="67"/>
      <c r="P15" s="67">
        <f t="shared" si="2"/>
        <v>0</v>
      </c>
      <c r="Q15" s="346">
        <f t="shared" si="1"/>
        <v>0</v>
      </c>
      <c r="R15" s="490">
        <f t="shared" si="3"/>
        <v>0</v>
      </c>
      <c r="S15" s="385">
        <v>0</v>
      </c>
      <c r="T15" s="2" t="b">
        <f>A15=[6]FORM.2!A12</f>
        <v>1</v>
      </c>
      <c r="U15" s="2" t="b">
        <f>B15=[6]FORM.2!B12</f>
        <v>1</v>
      </c>
      <c r="V15" s="2" t="b">
        <f>E15=[6]FORM.2!D12</f>
        <v>1</v>
      </c>
      <c r="W15" s="2" t="b">
        <f>F15=[6]FORM.2!E12</f>
        <v>1</v>
      </c>
      <c r="X15" s="2" t="b">
        <f>G15=[6]FORM.2!F12</f>
        <v>1</v>
      </c>
      <c r="Y15" s="2" t="b">
        <f>H15=[6]FORM.2!G12</f>
        <v>1</v>
      </c>
      <c r="Z15" s="2" t="b">
        <f>I15=[6]FORM.2!H12</f>
        <v>1</v>
      </c>
      <c r="AA15" s="379" t="b">
        <f>J15=[6]FORM.2!J12</f>
        <v>1</v>
      </c>
      <c r="AB15" s="468"/>
    </row>
    <row r="16" spans="1:36" s="2" customFormat="1" ht="105" x14ac:dyDescent="0.25">
      <c r="A16" s="193" t="s">
        <v>608</v>
      </c>
      <c r="B16" s="194" t="s">
        <v>306</v>
      </c>
      <c r="C16" s="22" t="s">
        <v>308</v>
      </c>
      <c r="D16" s="22"/>
      <c r="E16" s="221" t="s">
        <v>407</v>
      </c>
      <c r="F16" s="23" t="s">
        <v>601</v>
      </c>
      <c r="G16" s="195" t="s">
        <v>27</v>
      </c>
      <c r="H16" s="23" t="s">
        <v>107</v>
      </c>
      <c r="I16" s="23" t="s">
        <v>609</v>
      </c>
      <c r="J16" s="196">
        <v>128000</v>
      </c>
      <c r="K16" s="196">
        <f>'Anexo 4.Quadro Descritivo.'!E200</f>
        <v>0</v>
      </c>
      <c r="L16" s="196">
        <f>'Anexo 4.Quadro Descritivo.'!F200</f>
        <v>128000</v>
      </c>
      <c r="M16" s="295">
        <f t="shared" si="0"/>
        <v>128000</v>
      </c>
      <c r="N16" s="32"/>
      <c r="O16" s="67"/>
      <c r="P16" s="67">
        <f t="shared" si="2"/>
        <v>0</v>
      </c>
      <c r="Q16" s="346">
        <f t="shared" si="1"/>
        <v>0</v>
      </c>
      <c r="R16" s="490">
        <f t="shared" si="3"/>
        <v>0</v>
      </c>
      <c r="S16" s="385">
        <v>0</v>
      </c>
      <c r="T16" s="2" t="b">
        <f>A16=[6]FORM.2!A13</f>
        <v>1</v>
      </c>
      <c r="U16" s="2" t="b">
        <f>B16=[6]FORM.2!B13</f>
        <v>1</v>
      </c>
      <c r="V16" s="2" t="b">
        <f>E16=[6]FORM.2!D13</f>
        <v>1</v>
      </c>
      <c r="W16" s="2" t="b">
        <f>F16=[6]FORM.2!E13</f>
        <v>1</v>
      </c>
      <c r="X16" s="2" t="b">
        <f>G16=[6]FORM.2!F13</f>
        <v>1</v>
      </c>
      <c r="Y16" s="2" t="b">
        <f>H16=[6]FORM.2!G13</f>
        <v>1</v>
      </c>
      <c r="Z16" s="2" t="b">
        <f>I16=[6]FORM.2!H13</f>
        <v>1</v>
      </c>
      <c r="AA16" s="379" t="b">
        <f>J16=[6]FORM.2!J13</f>
        <v>1</v>
      </c>
      <c r="AB16" s="468"/>
    </row>
    <row r="17" spans="1:46" s="2" customFormat="1" ht="126" x14ac:dyDescent="0.25">
      <c r="A17" s="193" t="s">
        <v>610</v>
      </c>
      <c r="B17" s="194" t="s">
        <v>306</v>
      </c>
      <c r="C17" s="22" t="s">
        <v>308</v>
      </c>
      <c r="D17" s="22"/>
      <c r="E17" s="221" t="s">
        <v>433</v>
      </c>
      <c r="F17" s="23" t="s">
        <v>601</v>
      </c>
      <c r="G17" s="195" t="s">
        <v>35</v>
      </c>
      <c r="H17" s="23" t="s">
        <v>109</v>
      </c>
      <c r="I17" s="23" t="s">
        <v>611</v>
      </c>
      <c r="J17" s="196">
        <v>44800</v>
      </c>
      <c r="K17" s="196">
        <v>0</v>
      </c>
      <c r="L17" s="196">
        <f>'Anexo 4.Quadro Descritivo.'!F217</f>
        <v>44800</v>
      </c>
      <c r="M17" s="295">
        <f t="shared" si="0"/>
        <v>44800</v>
      </c>
      <c r="N17" s="32"/>
      <c r="O17" s="67"/>
      <c r="P17" s="67">
        <f t="shared" si="2"/>
        <v>0</v>
      </c>
      <c r="Q17" s="346">
        <f t="shared" si="1"/>
        <v>0</v>
      </c>
      <c r="R17" s="490">
        <f t="shared" si="3"/>
        <v>0</v>
      </c>
      <c r="S17" s="385">
        <v>0</v>
      </c>
      <c r="T17" s="2" t="b">
        <f>A17=[6]FORM.2!A14</f>
        <v>1</v>
      </c>
      <c r="U17" s="2" t="b">
        <f>B17=[6]FORM.2!B14</f>
        <v>1</v>
      </c>
      <c r="V17" s="2" t="b">
        <f>E17=[6]FORM.2!D14</f>
        <v>1</v>
      </c>
      <c r="W17" s="2" t="b">
        <f>F17=[6]FORM.2!E14</f>
        <v>1</v>
      </c>
      <c r="X17" s="2" t="b">
        <f>G17=[6]FORM.2!F14</f>
        <v>1</v>
      </c>
      <c r="Y17" s="2" t="b">
        <f>H17=[6]FORM.2!G14</f>
        <v>1</v>
      </c>
      <c r="Z17" s="2" t="b">
        <f>I17=[6]FORM.2!H14</f>
        <v>1</v>
      </c>
      <c r="AA17" s="379" t="b">
        <f>J17=[6]FORM.2!J14</f>
        <v>1</v>
      </c>
      <c r="AB17" s="468"/>
    </row>
    <row r="18" spans="1:46" s="2" customFormat="1" ht="168" customHeight="1" x14ac:dyDescent="0.25">
      <c r="A18" s="193" t="s">
        <v>612</v>
      </c>
      <c r="B18" s="194" t="s">
        <v>306</v>
      </c>
      <c r="C18" s="22" t="s">
        <v>310</v>
      </c>
      <c r="D18" s="22"/>
      <c r="E18" s="221" t="s">
        <v>438</v>
      </c>
      <c r="F18" s="23" t="s">
        <v>613</v>
      </c>
      <c r="G18" s="195" t="s">
        <v>140</v>
      </c>
      <c r="H18" s="23" t="s">
        <v>107</v>
      </c>
      <c r="I18" s="23" t="s">
        <v>614</v>
      </c>
      <c r="J18" s="196">
        <v>28000</v>
      </c>
      <c r="K18" s="196">
        <f>'Anexo 4.Quadro Descritivo.'!E242</f>
        <v>0</v>
      </c>
      <c r="L18" s="196">
        <f>'Anexo 4.Quadro Descritivo.'!F242</f>
        <v>65135</v>
      </c>
      <c r="M18" s="295">
        <f t="shared" si="0"/>
        <v>65135</v>
      </c>
      <c r="N18" s="32"/>
      <c r="O18" s="67"/>
      <c r="P18" s="67">
        <f t="shared" si="2"/>
        <v>0</v>
      </c>
      <c r="Q18" s="346">
        <f t="shared" si="1"/>
        <v>37135</v>
      </c>
      <c r="R18" s="490">
        <f t="shared" si="3"/>
        <v>132.625</v>
      </c>
      <c r="S18" s="385">
        <v>0</v>
      </c>
      <c r="T18" s="2" t="b">
        <f>A18=[6]FORM.2!A15</f>
        <v>1</v>
      </c>
      <c r="U18" s="2" t="b">
        <f>B18=[6]FORM.2!B15</f>
        <v>1</v>
      </c>
      <c r="V18" s="2" t="b">
        <f>E18=[6]FORM.2!D15</f>
        <v>1</v>
      </c>
      <c r="W18" s="2" t="b">
        <f>F18=[6]FORM.2!E15</f>
        <v>1</v>
      </c>
      <c r="X18" s="2" t="b">
        <f>G18=[6]FORM.2!F15</f>
        <v>1</v>
      </c>
      <c r="Y18" s="2" t="b">
        <f>H18=[6]FORM.2!G15</f>
        <v>1</v>
      </c>
      <c r="Z18" s="2" t="b">
        <f>I18=[6]FORM.2!H15</f>
        <v>1</v>
      </c>
      <c r="AA18" s="379" t="b">
        <f>J18=[6]FORM.2!J15</f>
        <v>1</v>
      </c>
      <c r="AB18" s="468"/>
      <c r="AC18" s="618"/>
      <c r="AD18" s="618"/>
      <c r="AE18" s="438"/>
      <c r="AF18" s="438"/>
      <c r="AG18" s="438"/>
      <c r="AH18" s="438"/>
      <c r="AI18" s="438"/>
      <c r="AJ18" s="438"/>
      <c r="AK18" s="438"/>
      <c r="AL18" s="438"/>
      <c r="AM18" s="438"/>
      <c r="AN18" s="438"/>
      <c r="AO18" s="438"/>
      <c r="AP18" s="438"/>
      <c r="AQ18" s="438"/>
      <c r="AR18" s="438"/>
      <c r="AS18" s="438"/>
      <c r="AT18" s="438"/>
    </row>
    <row r="19" spans="1:46" s="2" customFormat="1" ht="168" x14ac:dyDescent="0.25">
      <c r="A19" s="193" t="s">
        <v>615</v>
      </c>
      <c r="B19" s="194" t="s">
        <v>306</v>
      </c>
      <c r="C19" s="22" t="s">
        <v>308</v>
      </c>
      <c r="D19" s="22"/>
      <c r="E19" s="221" t="s">
        <v>448</v>
      </c>
      <c r="F19" s="23" t="s">
        <v>593</v>
      </c>
      <c r="G19" s="195" t="s">
        <v>181</v>
      </c>
      <c r="H19" s="23" t="s">
        <v>107</v>
      </c>
      <c r="I19" s="23" t="s">
        <v>616</v>
      </c>
      <c r="J19" s="196">
        <v>62582.679000000004</v>
      </c>
      <c r="K19" s="196">
        <f>'Anexo 4.Quadro Descritivo.'!E275</f>
        <v>0</v>
      </c>
      <c r="L19" s="196">
        <f>'Anexo 4.Quadro Descritivo.'!F275</f>
        <v>62582.68</v>
      </c>
      <c r="M19" s="295">
        <f t="shared" si="0"/>
        <v>62582.68</v>
      </c>
      <c r="N19" s="32"/>
      <c r="O19" s="67"/>
      <c r="P19" s="67">
        <f t="shared" si="2"/>
        <v>0</v>
      </c>
      <c r="Q19" s="346">
        <f t="shared" si="1"/>
        <v>9.9999999656574801E-4</v>
      </c>
      <c r="R19" s="490">
        <f t="shared" si="3"/>
        <v>1.5978862083640555E-6</v>
      </c>
      <c r="S19" s="385">
        <v>0</v>
      </c>
      <c r="T19" s="2" t="b">
        <f>A19=[6]FORM.2!A16</f>
        <v>1</v>
      </c>
      <c r="U19" s="2" t="b">
        <f>B19=[6]FORM.2!B16</f>
        <v>1</v>
      </c>
      <c r="V19" s="2" t="b">
        <f>E19=[6]FORM.2!D16</f>
        <v>1</v>
      </c>
      <c r="W19" s="2" t="b">
        <f>F19=[6]FORM.2!E16</f>
        <v>1</v>
      </c>
      <c r="X19" s="2" t="b">
        <f>G19=[6]FORM.2!F16</f>
        <v>1</v>
      </c>
      <c r="Y19" s="2" t="b">
        <f>H19=[6]FORM.2!G16</f>
        <v>1</v>
      </c>
      <c r="Z19" s="2" t="b">
        <f>I19=[6]FORM.2!H16</f>
        <v>1</v>
      </c>
      <c r="AA19" s="379" t="b">
        <f>J19=[6]FORM.2!J16</f>
        <v>1</v>
      </c>
      <c r="AB19" s="468"/>
      <c r="AC19" s="618"/>
      <c r="AD19" s="618"/>
      <c r="AE19" s="438"/>
      <c r="AF19" s="438"/>
      <c r="AG19" s="438"/>
      <c r="AH19" s="438"/>
      <c r="AI19" s="438"/>
      <c r="AJ19" s="438"/>
      <c r="AK19" s="438"/>
      <c r="AL19" s="438"/>
      <c r="AM19" s="438"/>
      <c r="AN19" s="438"/>
      <c r="AO19" s="438"/>
      <c r="AP19" s="438"/>
      <c r="AQ19" s="438"/>
      <c r="AR19" s="438"/>
      <c r="AS19" s="438"/>
      <c r="AT19" s="438"/>
    </row>
    <row r="20" spans="1:46" s="2" customFormat="1" ht="46.5" x14ac:dyDescent="0.25">
      <c r="A20" s="193" t="s">
        <v>617</v>
      </c>
      <c r="B20" s="194" t="s">
        <v>306</v>
      </c>
      <c r="C20" s="22" t="s">
        <v>310</v>
      </c>
      <c r="D20" s="22"/>
      <c r="E20" s="221" t="s">
        <v>761</v>
      </c>
      <c r="F20" s="23" t="s">
        <v>618</v>
      </c>
      <c r="G20" s="195" t="s">
        <v>32</v>
      </c>
      <c r="H20" s="23" t="s">
        <v>107</v>
      </c>
      <c r="I20" s="23" t="s">
        <v>619</v>
      </c>
      <c r="J20" s="196">
        <v>112142.91</v>
      </c>
      <c r="K20" s="196">
        <f>'Anexo 4.Quadro Descritivo.'!E290</f>
        <v>40189.369999999995</v>
      </c>
      <c r="L20" s="196">
        <f>'Anexo 4.Quadro Descritivo.'!F290</f>
        <v>79302.293050000007</v>
      </c>
      <c r="M20" s="295">
        <f t="shared" si="0"/>
        <v>119491.66305</v>
      </c>
      <c r="N20" s="32"/>
      <c r="O20" s="67"/>
      <c r="P20" s="67">
        <f t="shared" si="2"/>
        <v>0</v>
      </c>
      <c r="Q20" s="346">
        <f t="shared" si="1"/>
        <v>7348.7530499999993</v>
      </c>
      <c r="R20" s="490">
        <f t="shared" si="3"/>
        <v>6.553025108765234</v>
      </c>
      <c r="S20" s="385">
        <v>40189.97</v>
      </c>
      <c r="T20" s="2" t="b">
        <f>A20=[6]FORM.2!A17</f>
        <v>1</v>
      </c>
      <c r="U20" s="2" t="b">
        <f>B20=[6]FORM.2!B17</f>
        <v>1</v>
      </c>
      <c r="V20" s="2" t="b">
        <f>E20=[6]FORM.2!D17</f>
        <v>0</v>
      </c>
      <c r="W20" s="2" t="b">
        <f>F20=[6]FORM.2!E17</f>
        <v>1</v>
      </c>
      <c r="X20" s="2" t="b">
        <f>G20=[6]FORM.2!F17</f>
        <v>1</v>
      </c>
      <c r="Y20" s="2" t="b">
        <f>H20=[6]FORM.2!G17</f>
        <v>1</v>
      </c>
      <c r="Z20" s="2" t="b">
        <f>I20=[6]FORM.2!H17</f>
        <v>1</v>
      </c>
      <c r="AA20" s="379" t="b">
        <f>J20=[6]FORM.2!J17</f>
        <v>1</v>
      </c>
      <c r="AB20" s="468"/>
      <c r="AC20" s="618"/>
      <c r="AD20" s="618"/>
      <c r="AE20" s="438"/>
      <c r="AF20" s="438"/>
      <c r="AG20" s="438"/>
      <c r="AH20" s="438"/>
      <c r="AI20" s="438"/>
      <c r="AJ20" s="438"/>
      <c r="AK20" s="438"/>
      <c r="AL20" s="438"/>
      <c r="AM20" s="438"/>
      <c r="AN20" s="438"/>
      <c r="AO20" s="438"/>
      <c r="AP20" s="438"/>
      <c r="AQ20" s="438"/>
      <c r="AR20" s="438"/>
      <c r="AS20" s="438"/>
      <c r="AT20" s="438"/>
    </row>
    <row r="21" spans="1:46" s="2" customFormat="1" ht="46.5" x14ac:dyDescent="0.25">
      <c r="A21" s="193" t="s">
        <v>620</v>
      </c>
      <c r="B21" s="194" t="s">
        <v>306</v>
      </c>
      <c r="C21" s="22" t="s">
        <v>310</v>
      </c>
      <c r="D21" s="22"/>
      <c r="E21" s="221" t="s">
        <v>762</v>
      </c>
      <c r="F21" s="23" t="s">
        <v>621</v>
      </c>
      <c r="G21" s="195" t="s">
        <v>32</v>
      </c>
      <c r="H21" s="23" t="s">
        <v>107</v>
      </c>
      <c r="I21" s="23" t="s">
        <v>619</v>
      </c>
      <c r="J21" s="196">
        <v>109988.5</v>
      </c>
      <c r="K21" s="196">
        <f>'Anexo 4.Quadro Descritivo.'!E305</f>
        <v>39187.899999999994</v>
      </c>
      <c r="L21" s="196">
        <f>'Anexo 4.Quadro Descritivo.'!F305</f>
        <v>80790.489300000001</v>
      </c>
      <c r="M21" s="295">
        <f t="shared" si="0"/>
        <v>119978.3893</v>
      </c>
      <c r="N21" s="32"/>
      <c r="O21" s="67"/>
      <c r="P21" s="67">
        <f t="shared" si="2"/>
        <v>0</v>
      </c>
      <c r="Q21" s="346">
        <f t="shared" si="1"/>
        <v>9989.8892999999953</v>
      </c>
      <c r="R21" s="490">
        <f t="shared" si="3"/>
        <v>9.0826670970146832</v>
      </c>
      <c r="S21" s="385">
        <v>39187.9</v>
      </c>
      <c r="T21" s="2" t="b">
        <f>A21=[6]FORM.2!A18</f>
        <v>1</v>
      </c>
      <c r="U21" s="2" t="b">
        <f>B21=[6]FORM.2!B18</f>
        <v>1</v>
      </c>
      <c r="V21" s="2" t="b">
        <f>E21=[6]FORM.2!D18</f>
        <v>0</v>
      </c>
      <c r="W21" s="2" t="b">
        <f>F21=[6]FORM.2!E18</f>
        <v>1</v>
      </c>
      <c r="X21" s="2" t="b">
        <f>G21=[6]FORM.2!F18</f>
        <v>1</v>
      </c>
      <c r="Y21" s="2" t="b">
        <f>H21=[6]FORM.2!G18</f>
        <v>1</v>
      </c>
      <c r="Z21" s="2" t="b">
        <f>I21=[6]FORM.2!H18</f>
        <v>1</v>
      </c>
      <c r="AA21" s="379" t="b">
        <f>J21=[6]FORM.2!J18</f>
        <v>1</v>
      </c>
      <c r="AB21" s="468"/>
      <c r="AC21" s="618"/>
      <c r="AD21" s="618"/>
      <c r="AE21" s="438"/>
      <c r="AF21" s="438"/>
      <c r="AG21" s="438"/>
      <c r="AH21" s="438"/>
      <c r="AI21" s="438"/>
      <c r="AJ21" s="438"/>
      <c r="AK21" s="438"/>
      <c r="AL21" s="438"/>
      <c r="AM21" s="438"/>
      <c r="AN21" s="438"/>
      <c r="AO21" s="438"/>
      <c r="AP21" s="438"/>
      <c r="AQ21" s="438"/>
      <c r="AR21" s="438"/>
      <c r="AS21" s="438"/>
      <c r="AT21" s="438"/>
    </row>
    <row r="22" spans="1:46" s="2" customFormat="1" ht="46.5" x14ac:dyDescent="0.25">
      <c r="A22" s="193" t="s">
        <v>622</v>
      </c>
      <c r="B22" s="194" t="s">
        <v>306</v>
      </c>
      <c r="C22" s="22" t="s">
        <v>310</v>
      </c>
      <c r="D22" s="22"/>
      <c r="E22" s="221" t="s">
        <v>764</v>
      </c>
      <c r="F22" s="23" t="s">
        <v>623</v>
      </c>
      <c r="G22" s="195" t="s">
        <v>32</v>
      </c>
      <c r="H22" s="23" t="s">
        <v>107</v>
      </c>
      <c r="I22" s="23" t="s">
        <v>619</v>
      </c>
      <c r="J22" s="196">
        <v>93066.58</v>
      </c>
      <c r="K22" s="196">
        <f>'Anexo 4.Quadro Descritivo.'!E320</f>
        <v>37734.020000000004</v>
      </c>
      <c r="L22" s="196">
        <f>'Anexo 4.Quadro Descritivo.'!F320</f>
        <v>65568.935059999989</v>
      </c>
      <c r="M22" s="295">
        <f t="shared" si="0"/>
        <v>103302.95505999999</v>
      </c>
      <c r="N22" s="32"/>
      <c r="O22" s="67"/>
      <c r="P22" s="67">
        <f t="shared" si="2"/>
        <v>0</v>
      </c>
      <c r="Q22" s="346">
        <f t="shared" si="1"/>
        <v>10236.375059999991</v>
      </c>
      <c r="R22" s="490">
        <f t="shared" si="3"/>
        <v>10.998980579279898</v>
      </c>
      <c r="S22" s="385">
        <v>37734.019999999997</v>
      </c>
      <c r="T22" s="2" t="b">
        <f>A22=[6]FORM.2!A19</f>
        <v>1</v>
      </c>
      <c r="U22" s="2" t="b">
        <f>B22=[6]FORM.2!B19</f>
        <v>1</v>
      </c>
      <c r="V22" s="2" t="b">
        <f>E22=[6]FORM.2!D19</f>
        <v>0</v>
      </c>
      <c r="W22" s="2" t="b">
        <f>F22=[6]FORM.2!E19</f>
        <v>1</v>
      </c>
      <c r="X22" s="2" t="b">
        <f>G22=[6]FORM.2!F19</f>
        <v>1</v>
      </c>
      <c r="Y22" s="2" t="b">
        <f>H22=[6]FORM.2!G19</f>
        <v>1</v>
      </c>
      <c r="Z22" s="2" t="b">
        <f>I22=[6]FORM.2!H19</f>
        <v>1</v>
      </c>
      <c r="AA22" s="379" t="b">
        <f>J22=[6]FORM.2!J19</f>
        <v>1</v>
      </c>
      <c r="AB22" s="468"/>
    </row>
    <row r="23" spans="1:46" s="2" customFormat="1" ht="46.5" x14ac:dyDescent="0.25">
      <c r="A23" s="193" t="s">
        <v>624</v>
      </c>
      <c r="B23" s="194" t="s">
        <v>306</v>
      </c>
      <c r="C23" s="22" t="s">
        <v>310</v>
      </c>
      <c r="D23" s="22"/>
      <c r="E23" s="221" t="s">
        <v>765</v>
      </c>
      <c r="F23" s="23" t="s">
        <v>625</v>
      </c>
      <c r="G23" s="195" t="s">
        <v>32</v>
      </c>
      <c r="H23" s="23" t="s">
        <v>107</v>
      </c>
      <c r="I23" s="23" t="s">
        <v>619</v>
      </c>
      <c r="J23" s="196">
        <v>115114.51</v>
      </c>
      <c r="K23" s="196">
        <f>'Anexo 4.Quadro Descritivo.'!E335</f>
        <v>47351.89</v>
      </c>
      <c r="L23" s="196">
        <f>'Anexo 4.Quadro Descritivo.'!F335</f>
        <v>92602.971409999998</v>
      </c>
      <c r="M23" s="295">
        <f t="shared" si="0"/>
        <v>139954.86141000001</v>
      </c>
      <c r="N23" s="32"/>
      <c r="O23" s="67"/>
      <c r="P23" s="67">
        <f t="shared" si="2"/>
        <v>0</v>
      </c>
      <c r="Q23" s="346">
        <f t="shared" si="1"/>
        <v>24840.351410000017</v>
      </c>
      <c r="R23" s="490">
        <f t="shared" si="3"/>
        <v>21.578818699745167</v>
      </c>
      <c r="S23" s="385">
        <v>47351.89</v>
      </c>
      <c r="T23" s="2" t="b">
        <f>A23=[6]FORM.2!A20</f>
        <v>1</v>
      </c>
      <c r="U23" s="2" t="b">
        <f>B23=[6]FORM.2!B20</f>
        <v>1</v>
      </c>
      <c r="V23" s="2" t="b">
        <f>E23=[6]FORM.2!D20</f>
        <v>0</v>
      </c>
      <c r="W23" s="2" t="b">
        <f>F23=[6]FORM.2!E20</f>
        <v>1</v>
      </c>
      <c r="X23" s="2" t="b">
        <f>G23=[6]FORM.2!F20</f>
        <v>1</v>
      </c>
      <c r="Y23" s="2" t="b">
        <f>H23=[6]FORM.2!G20</f>
        <v>1</v>
      </c>
      <c r="Z23" s="2" t="b">
        <f>I23=[6]FORM.2!H20</f>
        <v>1</v>
      </c>
      <c r="AA23" s="379" t="b">
        <f>J23=[6]FORM.2!J20</f>
        <v>1</v>
      </c>
      <c r="AB23" s="468"/>
    </row>
    <row r="24" spans="1:46" s="2" customFormat="1" ht="46.5" x14ac:dyDescent="0.25">
      <c r="A24" s="193" t="s">
        <v>626</v>
      </c>
      <c r="B24" s="194" t="s">
        <v>306</v>
      </c>
      <c r="C24" s="22" t="s">
        <v>310</v>
      </c>
      <c r="D24" s="22"/>
      <c r="E24" s="221" t="s">
        <v>472</v>
      </c>
      <c r="F24" s="23" t="s">
        <v>627</v>
      </c>
      <c r="G24" s="195" t="s">
        <v>32</v>
      </c>
      <c r="H24" s="23" t="s">
        <v>107</v>
      </c>
      <c r="I24" s="23" t="s">
        <v>619</v>
      </c>
      <c r="J24" s="196">
        <v>91518.48000000001</v>
      </c>
      <c r="K24" s="196">
        <f>'Anexo 4.Quadro Descritivo.'!E350</f>
        <v>27520.57</v>
      </c>
      <c r="L24" s="196">
        <f>'Anexo 4.Quadro Descritivo.'!F350</f>
        <v>50429.561818888891</v>
      </c>
      <c r="M24" s="295">
        <f t="shared" si="0"/>
        <v>77950.131818888884</v>
      </c>
      <c r="N24" s="32"/>
      <c r="O24" s="67"/>
      <c r="P24" s="67">
        <f t="shared" si="2"/>
        <v>0</v>
      </c>
      <c r="Q24" s="346">
        <f t="shared" si="1"/>
        <v>-13568.348181111127</v>
      </c>
      <c r="R24" s="490">
        <f t="shared" si="3"/>
        <v>-14.825801500539701</v>
      </c>
      <c r="S24" s="385">
        <v>27520.57</v>
      </c>
      <c r="T24" s="2" t="b">
        <f>A24=[6]FORM.2!A21</f>
        <v>1</v>
      </c>
      <c r="U24" s="2" t="b">
        <f>B24=[6]FORM.2!B21</f>
        <v>1</v>
      </c>
      <c r="V24" s="2" t="b">
        <f>E24=[6]FORM.2!D21</f>
        <v>1</v>
      </c>
      <c r="W24" s="2" t="b">
        <f>F24=[6]FORM.2!E21</f>
        <v>1</v>
      </c>
      <c r="X24" s="2" t="b">
        <f>G24=[6]FORM.2!F21</f>
        <v>1</v>
      </c>
      <c r="Y24" s="2" t="b">
        <f>H24=[6]FORM.2!G21</f>
        <v>1</v>
      </c>
      <c r="Z24" s="2" t="b">
        <f>I24=[6]FORM.2!H21</f>
        <v>1</v>
      </c>
      <c r="AA24" s="379" t="b">
        <f>J24=[6]FORM.2!J21</f>
        <v>1</v>
      </c>
      <c r="AB24" s="468"/>
    </row>
    <row r="25" spans="1:46" s="2" customFormat="1" ht="63" x14ac:dyDescent="0.25">
      <c r="A25" s="193" t="s">
        <v>628</v>
      </c>
      <c r="B25" s="194" t="s">
        <v>306</v>
      </c>
      <c r="C25" s="22" t="s">
        <v>310</v>
      </c>
      <c r="D25" s="22"/>
      <c r="E25" s="221" t="s">
        <v>479</v>
      </c>
      <c r="F25" s="23" t="s">
        <v>629</v>
      </c>
      <c r="G25" s="195" t="s">
        <v>35</v>
      </c>
      <c r="H25" s="23" t="s">
        <v>109</v>
      </c>
      <c r="I25" s="23" t="s">
        <v>630</v>
      </c>
      <c r="J25" s="196">
        <v>2238776.2529999958</v>
      </c>
      <c r="K25" s="196">
        <f>'Anexo 4.Quadro Descritivo.'!E369</f>
        <v>762343.53</v>
      </c>
      <c r="L25" s="196">
        <f>'Anexo 4.Quadro Descritivo.'!F369</f>
        <v>1405698.7061380562</v>
      </c>
      <c r="M25" s="295">
        <f t="shared" si="0"/>
        <v>2168042.236138056</v>
      </c>
      <c r="N25" s="32"/>
      <c r="O25" s="67"/>
      <c r="P25" s="67">
        <f t="shared" si="2"/>
        <v>0</v>
      </c>
      <c r="Q25" s="346">
        <f t="shared" si="1"/>
        <v>-70734.016861939803</v>
      </c>
      <c r="R25" s="490">
        <f t="shared" si="3"/>
        <v>-3.1594946912249537</v>
      </c>
      <c r="S25" s="385">
        <v>762343.53</v>
      </c>
      <c r="T25" s="2" t="b">
        <f>A25=[6]FORM.2!A22</f>
        <v>1</v>
      </c>
      <c r="U25" s="2" t="b">
        <f>B25=[6]FORM.2!B22</f>
        <v>1</v>
      </c>
      <c r="V25" s="2" t="b">
        <f>E25=[6]FORM.2!D22</f>
        <v>1</v>
      </c>
      <c r="W25" s="2" t="b">
        <f>F25=[6]FORM.2!E22</f>
        <v>1</v>
      </c>
      <c r="X25" s="2" t="b">
        <f>G25=[6]FORM.2!F22</f>
        <v>1</v>
      </c>
      <c r="Y25" s="2" t="b">
        <f>H25=[6]FORM.2!G22</f>
        <v>1</v>
      </c>
      <c r="Z25" s="2" t="b">
        <f>I25=[6]FORM.2!H22</f>
        <v>1</v>
      </c>
      <c r="AA25" s="379" t="b">
        <f>J25=[6]FORM.2!J22</f>
        <v>1</v>
      </c>
      <c r="AB25" s="468"/>
    </row>
    <row r="26" spans="1:46" s="258" customFormat="1" ht="42" x14ac:dyDescent="0.25">
      <c r="A26" s="325" t="s">
        <v>628</v>
      </c>
      <c r="B26" s="259" t="s">
        <v>306</v>
      </c>
      <c r="C26" s="260" t="s">
        <v>310</v>
      </c>
      <c r="D26" s="260"/>
      <c r="E26" s="261" t="s">
        <v>482</v>
      </c>
      <c r="F26" s="262" t="s">
        <v>631</v>
      </c>
      <c r="G26" s="263" t="s">
        <v>35</v>
      </c>
      <c r="H26" s="262" t="s">
        <v>109</v>
      </c>
      <c r="I26" s="262" t="s">
        <v>632</v>
      </c>
      <c r="J26" s="264">
        <v>257042.4</v>
      </c>
      <c r="K26" s="196">
        <f>'Anexo 4.Quadro Descritivo.'!E381</f>
        <v>107101</v>
      </c>
      <c r="L26" s="264">
        <f>'Anexo 4.Quadro Descritivo.'!F381</f>
        <v>109957.38</v>
      </c>
      <c r="M26" s="295">
        <f>K26+L26</f>
        <v>217058.38</v>
      </c>
      <c r="N26" s="265"/>
      <c r="O26" s="67"/>
      <c r="P26" s="67">
        <f t="shared" si="2"/>
        <v>0</v>
      </c>
      <c r="Q26" s="346">
        <f t="shared" si="1"/>
        <v>-39984.01999999999</v>
      </c>
      <c r="R26" s="490">
        <f t="shared" si="3"/>
        <v>-15.555418094446672</v>
      </c>
      <c r="S26" s="385">
        <v>107101</v>
      </c>
      <c r="T26" s="2" t="b">
        <f>A26=[6]FORM.2!A23</f>
        <v>1</v>
      </c>
      <c r="U26" s="2" t="b">
        <f>B26=[6]FORM.2!B23</f>
        <v>1</v>
      </c>
      <c r="V26" s="2" t="b">
        <f>E26=[6]FORM.2!D23</f>
        <v>1</v>
      </c>
      <c r="W26" s="2" t="b">
        <f>F26=[6]FORM.2!E23</f>
        <v>1</v>
      </c>
      <c r="X26" s="2" t="b">
        <f>G26=[6]FORM.2!F23</f>
        <v>1</v>
      </c>
      <c r="Y26" s="2" t="b">
        <f>H26=[6]FORM.2!G23</f>
        <v>1</v>
      </c>
      <c r="Z26" s="2" t="b">
        <f>I26=[6]FORM.2!H23</f>
        <v>1</v>
      </c>
      <c r="AA26" s="379" t="b">
        <f>J26=[6]FORM.2!J23</f>
        <v>1</v>
      </c>
      <c r="AB26" s="468"/>
    </row>
    <row r="27" spans="1:46" s="258" customFormat="1" ht="46.5" x14ac:dyDescent="0.25">
      <c r="A27" s="325" t="s">
        <v>633</v>
      </c>
      <c r="B27" s="259" t="s">
        <v>306</v>
      </c>
      <c r="C27" s="260" t="s">
        <v>310</v>
      </c>
      <c r="D27" s="260"/>
      <c r="E27" s="261" t="s">
        <v>634</v>
      </c>
      <c r="F27" s="262" t="s">
        <v>635</v>
      </c>
      <c r="G27" s="263" t="s">
        <v>27</v>
      </c>
      <c r="H27" s="262" t="s">
        <v>107</v>
      </c>
      <c r="I27" s="262" t="s">
        <v>636</v>
      </c>
      <c r="J27" s="264">
        <v>602232.79262394761</v>
      </c>
      <c r="K27" s="196">
        <f>'Anexo 4.Quadro Descritivo.'!E393</f>
        <v>250930.35</v>
      </c>
      <c r="L27" s="264">
        <f>'Anexo 4.Quadro Descritivo.'!F392</f>
        <v>422031.92000000004</v>
      </c>
      <c r="M27" s="295">
        <f t="shared" si="0"/>
        <v>672962.27</v>
      </c>
      <c r="N27" s="265"/>
      <c r="O27" s="67"/>
      <c r="P27" s="67">
        <f t="shared" si="2"/>
        <v>0</v>
      </c>
      <c r="Q27" s="346">
        <f t="shared" si="1"/>
        <v>70729.477376052411</v>
      </c>
      <c r="R27" s="490">
        <f t="shared" si="3"/>
        <v>11.744541021733774</v>
      </c>
      <c r="S27" s="385">
        <v>250930.35</v>
      </c>
      <c r="T27" s="2" t="b">
        <f>A27=[6]FORM.2!A24</f>
        <v>1</v>
      </c>
      <c r="U27" s="2" t="b">
        <f>B27=[6]FORM.2!B24</f>
        <v>1</v>
      </c>
      <c r="V27" s="2" t="b">
        <f>E27=[6]FORM.2!D24</f>
        <v>1</v>
      </c>
      <c r="W27" s="2" t="b">
        <f>F27=[6]FORM.2!E24</f>
        <v>1</v>
      </c>
      <c r="X27" s="2" t="b">
        <f>G27=[6]FORM.2!F24</f>
        <v>1</v>
      </c>
      <c r="Y27" s="2" t="b">
        <f>H27=[6]FORM.2!G24</f>
        <v>1</v>
      </c>
      <c r="Z27" s="2" t="b">
        <f>I27=[6]FORM.2!H24</f>
        <v>1</v>
      </c>
      <c r="AA27" s="379" t="b">
        <f>J27=[6]FORM.2!J24</f>
        <v>1</v>
      </c>
      <c r="AB27" s="468"/>
    </row>
    <row r="28" spans="1:46" s="258" customFormat="1" ht="69.75" x14ac:dyDescent="0.25">
      <c r="A28" s="325" t="s">
        <v>637</v>
      </c>
      <c r="B28" s="259" t="s">
        <v>306</v>
      </c>
      <c r="C28" s="260" t="s">
        <v>310</v>
      </c>
      <c r="D28" s="260"/>
      <c r="E28" s="261" t="s">
        <v>486</v>
      </c>
      <c r="F28" s="262" t="s">
        <v>638</v>
      </c>
      <c r="G28" s="263" t="s">
        <v>129</v>
      </c>
      <c r="H28" s="262" t="s">
        <v>109</v>
      </c>
      <c r="I28" s="262" t="s">
        <v>636</v>
      </c>
      <c r="J28" s="264">
        <v>72916.078030702178</v>
      </c>
      <c r="K28" s="196">
        <f>'Anexo 4.Quadro Descritivo.'!E404</f>
        <v>30381.7</v>
      </c>
      <c r="L28" s="264">
        <f>'Anexo 4.Quadro Descritivo.'!F405</f>
        <v>71203.89</v>
      </c>
      <c r="M28" s="295">
        <f t="shared" si="0"/>
        <v>101585.59</v>
      </c>
      <c r="N28" s="265"/>
      <c r="O28" s="67"/>
      <c r="P28" s="67">
        <f t="shared" si="2"/>
        <v>0</v>
      </c>
      <c r="Q28" s="346">
        <f t="shared" si="1"/>
        <v>28669.511969297819</v>
      </c>
      <c r="R28" s="490">
        <f t="shared" si="3"/>
        <v>39.318505250962872</v>
      </c>
      <c r="S28" s="385">
        <v>30381.7</v>
      </c>
      <c r="T28" s="2" t="b">
        <f>A28=[6]FORM.2!A25</f>
        <v>1</v>
      </c>
      <c r="U28" s="2" t="b">
        <f>B28=[6]FORM.2!B25</f>
        <v>1</v>
      </c>
      <c r="V28" s="2" t="b">
        <f>E28=[6]FORM.2!D25</f>
        <v>1</v>
      </c>
      <c r="W28" s="2" t="b">
        <f>F28=[6]FORM.2!E25</f>
        <v>1</v>
      </c>
      <c r="X28" s="2" t="b">
        <f>G28=[6]FORM.2!F25</f>
        <v>1</v>
      </c>
      <c r="Y28" s="2" t="b">
        <f>H28=[6]FORM.2!G25</f>
        <v>1</v>
      </c>
      <c r="Z28" s="2" t="b">
        <f>I28=[6]FORM.2!H25</f>
        <v>1</v>
      </c>
      <c r="AA28" s="379" t="b">
        <f>J28=[6]FORM.2!J25</f>
        <v>1</v>
      </c>
      <c r="AB28" s="468"/>
    </row>
    <row r="29" spans="1:46" s="2" customFormat="1" ht="42" x14ac:dyDescent="0.25">
      <c r="A29" s="193" t="s">
        <v>628</v>
      </c>
      <c r="B29" s="194" t="s">
        <v>306</v>
      </c>
      <c r="C29" s="22" t="s">
        <v>308</v>
      </c>
      <c r="D29" s="22"/>
      <c r="E29" s="221" t="s">
        <v>488</v>
      </c>
      <c r="F29" s="23" t="s">
        <v>639</v>
      </c>
      <c r="G29" s="195" t="s">
        <v>35</v>
      </c>
      <c r="H29" s="23" t="s">
        <v>109</v>
      </c>
      <c r="I29" s="23" t="s">
        <v>640</v>
      </c>
      <c r="J29" s="196">
        <v>80000</v>
      </c>
      <c r="K29" s="196">
        <f>'Anexo 4.Quadro Descritivo.'!E416</f>
        <v>0</v>
      </c>
      <c r="L29" s="196">
        <f>'Anexo 4.Quadro Descritivo.'!F416</f>
        <v>80000</v>
      </c>
      <c r="M29" s="295">
        <f t="shared" si="0"/>
        <v>80000</v>
      </c>
      <c r="N29" s="32"/>
      <c r="O29" s="67"/>
      <c r="P29" s="67">
        <f t="shared" si="2"/>
        <v>0</v>
      </c>
      <c r="Q29" s="346">
        <f t="shared" si="1"/>
        <v>0</v>
      </c>
      <c r="R29" s="490">
        <f t="shared" si="3"/>
        <v>0</v>
      </c>
      <c r="S29" s="385">
        <v>0</v>
      </c>
      <c r="T29" s="2" t="b">
        <f>A29=[6]FORM.2!A26</f>
        <v>1</v>
      </c>
      <c r="U29" s="2" t="b">
        <f>B29=[6]FORM.2!B26</f>
        <v>1</v>
      </c>
      <c r="V29" s="2" t="b">
        <f>E29=[6]FORM.2!D26</f>
        <v>1</v>
      </c>
      <c r="W29" s="2" t="b">
        <f>F29=[6]FORM.2!E26</f>
        <v>1</v>
      </c>
      <c r="X29" s="2" t="b">
        <f>G29=[6]FORM.2!F26</f>
        <v>1</v>
      </c>
      <c r="Y29" s="2" t="b">
        <f>H29=[6]FORM.2!G26</f>
        <v>1</v>
      </c>
      <c r="Z29" s="2" t="b">
        <f>I29=[6]FORM.2!H26</f>
        <v>1</v>
      </c>
      <c r="AA29" s="379" t="b">
        <f>J29=[6]FORM.2!J26</f>
        <v>1</v>
      </c>
      <c r="AB29" s="468"/>
    </row>
    <row r="30" spans="1:46" s="2" customFormat="1" ht="189" x14ac:dyDescent="0.25">
      <c r="A30" s="193" t="s">
        <v>641</v>
      </c>
      <c r="B30" s="194" t="s">
        <v>306</v>
      </c>
      <c r="C30" s="22" t="s">
        <v>310</v>
      </c>
      <c r="D30" s="22"/>
      <c r="E30" s="221" t="s">
        <v>490</v>
      </c>
      <c r="F30" s="23" t="s">
        <v>642</v>
      </c>
      <c r="G30" s="195" t="s">
        <v>36</v>
      </c>
      <c r="H30" s="23" t="s">
        <v>110</v>
      </c>
      <c r="I30" s="23" t="s">
        <v>643</v>
      </c>
      <c r="J30" s="196">
        <v>534929.79</v>
      </c>
      <c r="K30" s="196">
        <f>'Anexo 4.Quadro Descritivo.'!E443</f>
        <v>89110.37000000001</v>
      </c>
      <c r="L30" s="196">
        <f>'Anexo 4.Quadro Descritivo.'!F443</f>
        <v>270229.05867027777</v>
      </c>
      <c r="M30" s="295">
        <f t="shared" si="0"/>
        <v>359339.42867027776</v>
      </c>
      <c r="N30" s="32"/>
      <c r="O30" s="67"/>
      <c r="P30" s="67">
        <f t="shared" si="2"/>
        <v>0</v>
      </c>
      <c r="Q30" s="346">
        <f t="shared" si="1"/>
        <v>-175590.36132972228</v>
      </c>
      <c r="R30" s="490">
        <f t="shared" si="3"/>
        <v>-32.824936021925843</v>
      </c>
      <c r="S30" s="385">
        <v>89110.37</v>
      </c>
      <c r="T30" s="2" t="b">
        <f>A30=[6]FORM.2!A28</f>
        <v>1</v>
      </c>
      <c r="U30" s="2" t="b">
        <f>B30=[6]FORM.2!B28</f>
        <v>1</v>
      </c>
      <c r="V30" s="2" t="b">
        <f>E30=[6]FORM.2!D28</f>
        <v>1</v>
      </c>
      <c r="W30" s="2" t="b">
        <f>F30=[6]FORM.2!E28</f>
        <v>1</v>
      </c>
      <c r="X30" s="2" t="b">
        <f>G30=[6]FORM.2!F28</f>
        <v>1</v>
      </c>
      <c r="Y30" s="2" t="b">
        <f>H30=[6]FORM.2!G28</f>
        <v>1</v>
      </c>
      <c r="Z30" s="2" t="b">
        <f>I30=[6]FORM.2!H28</f>
        <v>1</v>
      </c>
      <c r="AA30" s="2" t="b">
        <f>J30=[6]FORM.2!J28</f>
        <v>1</v>
      </c>
      <c r="AB30" s="468"/>
    </row>
    <row r="31" spans="1:46" s="2" customFormat="1" ht="69.75" x14ac:dyDescent="0.25">
      <c r="A31" s="193" t="s">
        <v>644</v>
      </c>
      <c r="B31" s="194" t="s">
        <v>305</v>
      </c>
      <c r="C31" s="22" t="s">
        <v>310</v>
      </c>
      <c r="D31" s="22"/>
      <c r="E31" s="221" t="s">
        <v>505</v>
      </c>
      <c r="F31" s="23" t="s">
        <v>645</v>
      </c>
      <c r="G31" s="195" t="s">
        <v>29</v>
      </c>
      <c r="H31" s="23" t="s">
        <v>110</v>
      </c>
      <c r="I31" s="23" t="s">
        <v>646</v>
      </c>
      <c r="J31" s="196">
        <v>80062.17</v>
      </c>
      <c r="K31" s="196">
        <f>'Anexo 4.Quadro Descritivo.'!E462</f>
        <v>0</v>
      </c>
      <c r="L31" s="196">
        <f>'Anexo 4.Quadro Descritivo.'!F462</f>
        <v>60921.56</v>
      </c>
      <c r="M31" s="295">
        <f t="shared" si="0"/>
        <v>60921.56</v>
      </c>
      <c r="N31" s="32"/>
      <c r="O31" s="67"/>
      <c r="P31" s="67">
        <f t="shared" si="2"/>
        <v>0</v>
      </c>
      <c r="Q31" s="346">
        <f t="shared" si="1"/>
        <v>-19140.61</v>
      </c>
      <c r="R31" s="490">
        <f t="shared" si="3"/>
        <v>-23.907183629921601</v>
      </c>
      <c r="S31" s="385">
        <v>0</v>
      </c>
      <c r="T31" s="2" t="b">
        <f>A31=[6]FORM.2!A29</f>
        <v>1</v>
      </c>
      <c r="U31" s="2" t="b">
        <f>B31=[6]FORM.2!B29</f>
        <v>1</v>
      </c>
      <c r="V31" s="2" t="b">
        <f>E31=[6]FORM.2!D29</f>
        <v>1</v>
      </c>
      <c r="W31" s="2" t="b">
        <f>F31=[6]FORM.2!E29</f>
        <v>1</v>
      </c>
      <c r="X31" s="2" t="b">
        <f>G31=[6]FORM.2!F29</f>
        <v>1</v>
      </c>
      <c r="Y31" s="2" t="b">
        <f>H31=[6]FORM.2!G29</f>
        <v>1</v>
      </c>
      <c r="Z31" s="2" t="b">
        <f>I31=[6]FORM.2!H29</f>
        <v>1</v>
      </c>
      <c r="AA31" s="2" t="b">
        <f>J31=[6]FORM.2!J29</f>
        <v>1</v>
      </c>
      <c r="AB31" s="468"/>
    </row>
    <row r="32" spans="1:46" s="2" customFormat="1" ht="46.5" x14ac:dyDescent="0.25">
      <c r="A32" s="193" t="s">
        <v>644</v>
      </c>
      <c r="B32" s="194" t="s">
        <v>306</v>
      </c>
      <c r="C32" s="22" t="s">
        <v>310</v>
      </c>
      <c r="D32" s="22"/>
      <c r="E32" s="221" t="s">
        <v>513</v>
      </c>
      <c r="F32" s="23" t="s">
        <v>647</v>
      </c>
      <c r="G32" s="195" t="s">
        <v>38</v>
      </c>
      <c r="H32" s="23" t="s">
        <v>104</v>
      </c>
      <c r="I32" s="23" t="s">
        <v>648</v>
      </c>
      <c r="J32" s="196">
        <v>328676.31</v>
      </c>
      <c r="K32" s="196">
        <f>'Anexo 4.Quadro Descritivo.'!E480</f>
        <v>97950.96</v>
      </c>
      <c r="L32" s="196">
        <f>'Anexo 4.Quadro Descritivo.'!F480</f>
        <v>199884.34526750003</v>
      </c>
      <c r="M32" s="295">
        <f t="shared" si="0"/>
        <v>297835.30526750005</v>
      </c>
      <c r="N32" s="32"/>
      <c r="O32" s="67"/>
      <c r="P32" s="67">
        <f t="shared" si="2"/>
        <v>0</v>
      </c>
      <c r="Q32" s="346">
        <f t="shared" si="1"/>
        <v>-30841.004732499947</v>
      </c>
      <c r="R32" s="490">
        <f t="shared" si="3"/>
        <v>-9.3833975233870515</v>
      </c>
      <c r="S32" s="385">
        <v>97950.96</v>
      </c>
      <c r="T32" s="2" t="b">
        <f>A32=[6]FORM.2!A30</f>
        <v>1</v>
      </c>
      <c r="U32" s="2" t="b">
        <f>B32=[6]FORM.2!B30</f>
        <v>1</v>
      </c>
      <c r="V32" s="2" t="b">
        <f>E32=[6]FORM.2!D30</f>
        <v>1</v>
      </c>
      <c r="W32" s="2" t="b">
        <f>F32=[6]FORM.2!E30</f>
        <v>1</v>
      </c>
      <c r="X32" s="2" t="b">
        <f>G32=[6]FORM.2!F30</f>
        <v>1</v>
      </c>
      <c r="Y32" s="2" t="b">
        <f>H32=[6]FORM.2!G30</f>
        <v>1</v>
      </c>
      <c r="Z32" s="2" t="b">
        <f>I32=[6]FORM.2!H30</f>
        <v>1</v>
      </c>
      <c r="AA32" s="2" t="b">
        <f>J32=[6]FORM.2!J30</f>
        <v>1</v>
      </c>
      <c r="AB32" s="468"/>
    </row>
    <row r="33" spans="1:28" s="2" customFormat="1" ht="84" x14ac:dyDescent="0.25">
      <c r="A33" s="193" t="s">
        <v>644</v>
      </c>
      <c r="B33" s="194" t="s">
        <v>305</v>
      </c>
      <c r="C33" s="22" t="s">
        <v>309</v>
      </c>
      <c r="D33" s="22"/>
      <c r="E33" s="221" t="s">
        <v>760</v>
      </c>
      <c r="F33" s="23" t="s">
        <v>649</v>
      </c>
      <c r="G33" s="195" t="s">
        <v>39</v>
      </c>
      <c r="H33" s="23" t="s">
        <v>109</v>
      </c>
      <c r="I33" s="23" t="s">
        <v>650</v>
      </c>
      <c r="J33" s="196">
        <v>0</v>
      </c>
      <c r="K33" s="196">
        <f>'Anexo 4.Quadro Descritivo.'!E493</f>
        <v>0</v>
      </c>
      <c r="L33" s="196">
        <f>'Anexo 4.Quadro Descritivo.'!F493</f>
        <v>150000</v>
      </c>
      <c r="M33" s="295">
        <f t="shared" si="0"/>
        <v>150000</v>
      </c>
      <c r="N33" s="32"/>
      <c r="O33" s="67"/>
      <c r="P33" s="67">
        <f t="shared" si="2"/>
        <v>0</v>
      </c>
      <c r="Q33" s="346">
        <f t="shared" si="1"/>
        <v>150000</v>
      </c>
      <c r="R33" s="490"/>
      <c r="S33" s="385">
        <v>0</v>
      </c>
      <c r="T33" s="2" t="b">
        <f>A33=[6]FORM.2!A31</f>
        <v>1</v>
      </c>
      <c r="U33" s="2" t="b">
        <f>B33=[6]FORM.2!B31</f>
        <v>0</v>
      </c>
      <c r="V33" s="2" t="b">
        <f>E33=[6]FORM.2!D31</f>
        <v>0</v>
      </c>
      <c r="W33" s="2" t="b">
        <f>F33=[6]FORM.2!E31</f>
        <v>1</v>
      </c>
      <c r="X33" s="2" t="b">
        <f>G33=[6]FORM.2!F31</f>
        <v>1</v>
      </c>
      <c r="Y33" s="2" t="b">
        <f>H33=[6]FORM.2!G31</f>
        <v>1</v>
      </c>
      <c r="Z33" s="2" t="b">
        <f>I33=[6]FORM.2!H31</f>
        <v>1</v>
      </c>
      <c r="AA33" s="2" t="b">
        <f>J33=[6]FORM.2!J31</f>
        <v>1</v>
      </c>
      <c r="AB33" s="468"/>
    </row>
    <row r="34" spans="1:28" s="2" customFormat="1" ht="84" x14ac:dyDescent="0.25">
      <c r="A34" s="193" t="s">
        <v>651</v>
      </c>
      <c r="B34" s="194" t="s">
        <v>306</v>
      </c>
      <c r="C34" s="22" t="s">
        <v>310</v>
      </c>
      <c r="D34" s="22"/>
      <c r="E34" s="221" t="s">
        <v>521</v>
      </c>
      <c r="F34" s="23" t="s">
        <v>652</v>
      </c>
      <c r="G34" s="195" t="s">
        <v>36</v>
      </c>
      <c r="H34" s="23" t="s">
        <v>109</v>
      </c>
      <c r="I34" s="23" t="s">
        <v>653</v>
      </c>
      <c r="J34" s="196">
        <v>577954.82000000007</v>
      </c>
      <c r="K34" s="196">
        <f>'Anexo 4.Quadro Descritivo.'!E509</f>
        <v>171299.61999999997</v>
      </c>
      <c r="L34" s="196">
        <f>'Anexo 4.Quadro Descritivo.'!F509</f>
        <v>397625.58337999997</v>
      </c>
      <c r="M34" s="295">
        <f t="shared" si="0"/>
        <v>568925.20337999996</v>
      </c>
      <c r="N34" s="32"/>
      <c r="O34" s="67"/>
      <c r="P34" s="67">
        <f t="shared" si="2"/>
        <v>0</v>
      </c>
      <c r="Q34" s="346">
        <f t="shared" si="1"/>
        <v>-9029.6166200001026</v>
      </c>
      <c r="R34" s="490">
        <f t="shared" si="3"/>
        <v>-1.562339530276796</v>
      </c>
      <c r="S34" s="385">
        <v>171299.62</v>
      </c>
      <c r="T34" s="2" t="b">
        <f>A34=[6]FORM.2!A32</f>
        <v>1</v>
      </c>
      <c r="U34" s="2" t="b">
        <f>B34=[6]FORM.2!B32</f>
        <v>1</v>
      </c>
      <c r="V34" s="2" t="b">
        <f>E34=[6]FORM.2!D32</f>
        <v>1</v>
      </c>
      <c r="W34" s="2" t="b">
        <f>F34=[6]FORM.2!E32</f>
        <v>1</v>
      </c>
      <c r="X34" s="2" t="b">
        <f>G34=[6]FORM.2!F32</f>
        <v>1</v>
      </c>
      <c r="Y34" s="2" t="b">
        <f>H34=[6]FORM.2!G32</f>
        <v>1</v>
      </c>
      <c r="Z34" s="2" t="b">
        <f>I34=[6]FORM.2!H32</f>
        <v>1</v>
      </c>
      <c r="AA34" s="2" t="b">
        <f>J34=[6]FORM.2!J32</f>
        <v>1</v>
      </c>
      <c r="AB34" s="468"/>
    </row>
    <row r="35" spans="1:28" s="2" customFormat="1" ht="69.75" x14ac:dyDescent="0.25">
      <c r="A35" s="193" t="s">
        <v>654</v>
      </c>
      <c r="B35" s="194" t="s">
        <v>306</v>
      </c>
      <c r="C35" s="22" t="s">
        <v>310</v>
      </c>
      <c r="D35" s="22"/>
      <c r="E35" s="221" t="s">
        <v>529</v>
      </c>
      <c r="F35" s="23" t="s">
        <v>655</v>
      </c>
      <c r="G35" s="195" t="s">
        <v>129</v>
      </c>
      <c r="H35" s="23" t="s">
        <v>107</v>
      </c>
      <c r="I35" s="23" t="s">
        <v>656</v>
      </c>
      <c r="J35" s="196">
        <v>1385405.4040000001</v>
      </c>
      <c r="K35" s="196">
        <f>'Anexo 4.Quadro Descritivo.'!E529</f>
        <v>521176.79999999993</v>
      </c>
      <c r="L35" s="196">
        <f>'Anexo 4.Quadro Descritivo.'!F529</f>
        <v>994392.71659277799</v>
      </c>
      <c r="M35" s="295">
        <f t="shared" si="0"/>
        <v>1515569.5165927778</v>
      </c>
      <c r="N35" s="32"/>
      <c r="O35" s="67"/>
      <c r="P35" s="67">
        <f t="shared" si="2"/>
        <v>0</v>
      </c>
      <c r="Q35" s="346">
        <f t="shared" si="1"/>
        <v>130164.1125927777</v>
      </c>
      <c r="R35" s="490">
        <f t="shared" si="3"/>
        <v>9.3953807468169579</v>
      </c>
      <c r="S35" s="385">
        <v>521176.8</v>
      </c>
      <c r="T35" s="2" t="b">
        <f>A35=[6]FORM.2!A34</f>
        <v>1</v>
      </c>
      <c r="U35" s="2" t="b">
        <f>B35=[6]FORM.2!B34</f>
        <v>1</v>
      </c>
      <c r="V35" s="2" t="b">
        <f>E35=[6]FORM.2!D34</f>
        <v>1</v>
      </c>
      <c r="W35" s="2" t="b">
        <f>F35=[6]FORM.2!E34</f>
        <v>1</v>
      </c>
      <c r="X35" s="2" t="b">
        <f>G35=[6]FORM.2!F34</f>
        <v>1</v>
      </c>
      <c r="Y35" s="2" t="b">
        <f>H35=[6]FORM.2!G34</f>
        <v>1</v>
      </c>
      <c r="Z35" s="2" t="b">
        <f>I35=[6]FORM.2!H34</f>
        <v>1</v>
      </c>
      <c r="AA35" s="2" t="b">
        <f>J35=[6]FORM.2!J34</f>
        <v>1</v>
      </c>
      <c r="AB35" s="468"/>
    </row>
    <row r="36" spans="1:28" s="2" customFormat="1" ht="46.5" x14ac:dyDescent="0.25">
      <c r="A36" s="193" t="s">
        <v>657</v>
      </c>
      <c r="B36" s="194" t="s">
        <v>306</v>
      </c>
      <c r="C36" s="22" t="s">
        <v>310</v>
      </c>
      <c r="D36" s="22"/>
      <c r="E36" s="221" t="s">
        <v>536</v>
      </c>
      <c r="F36" s="23" t="s">
        <v>658</v>
      </c>
      <c r="G36" s="195" t="s">
        <v>27</v>
      </c>
      <c r="H36" s="23" t="s">
        <v>107</v>
      </c>
      <c r="I36" s="23" t="s">
        <v>659</v>
      </c>
      <c r="J36" s="196">
        <v>1268379.9100000001</v>
      </c>
      <c r="K36" s="196">
        <f>'Anexo 4.Quadro Descritivo.'!E553</f>
        <v>403623.94999999995</v>
      </c>
      <c r="L36" s="196">
        <f>'Anexo 4.Quadro Descritivo.'!F553</f>
        <v>845866.01000000013</v>
      </c>
      <c r="M36" s="295">
        <f t="shared" si="0"/>
        <v>1249489.96</v>
      </c>
      <c r="N36" s="32"/>
      <c r="O36" s="67"/>
      <c r="P36" s="67">
        <f t="shared" si="2"/>
        <v>0</v>
      </c>
      <c r="Q36" s="346">
        <f t="shared" si="1"/>
        <v>-18889.950000000186</v>
      </c>
      <c r="R36" s="490">
        <f t="shared" si="3"/>
        <v>-1.4892974771257756</v>
      </c>
      <c r="S36" s="385">
        <v>403623.95</v>
      </c>
      <c r="T36" s="2" t="b">
        <f>A36=[6]FORM.2!A35</f>
        <v>1</v>
      </c>
      <c r="U36" s="2" t="b">
        <f>B36=[6]FORM.2!B35</f>
        <v>1</v>
      </c>
      <c r="V36" s="2" t="b">
        <f>E36=[6]FORM.2!D35</f>
        <v>1</v>
      </c>
      <c r="W36" s="2" t="b">
        <f>F36=[6]FORM.2!E35</f>
        <v>1</v>
      </c>
      <c r="X36" s="2" t="b">
        <f>G36=[6]FORM.2!F35</f>
        <v>1</v>
      </c>
      <c r="Y36" s="2" t="b">
        <f>H36=[6]FORM.2!G35</f>
        <v>1</v>
      </c>
      <c r="Z36" s="2" t="b">
        <f>I36=[6]FORM.2!H35</f>
        <v>1</v>
      </c>
      <c r="AA36" s="2" t="b">
        <f>J36=[6]FORM.2!J35</f>
        <v>1</v>
      </c>
      <c r="AB36" s="468"/>
    </row>
    <row r="37" spans="1:28" s="2" customFormat="1" ht="84" x14ac:dyDescent="0.25">
      <c r="A37" s="193" t="s">
        <v>660</v>
      </c>
      <c r="B37" s="194" t="s">
        <v>306</v>
      </c>
      <c r="C37" s="22" t="s">
        <v>308</v>
      </c>
      <c r="D37" s="22"/>
      <c r="E37" s="221" t="s">
        <v>763</v>
      </c>
      <c r="F37" s="23" t="s">
        <v>661</v>
      </c>
      <c r="G37" s="195" t="s">
        <v>27</v>
      </c>
      <c r="H37" s="23" t="s">
        <v>107</v>
      </c>
      <c r="I37" s="23" t="s">
        <v>662</v>
      </c>
      <c r="J37" s="196">
        <v>260000.00400000002</v>
      </c>
      <c r="K37" s="196">
        <f>'Anexo 4.Quadro Descritivo.'!E570</f>
        <v>34567.17</v>
      </c>
      <c r="L37" s="196">
        <f>'Anexo 4.Quadro Descritivo.'!F570</f>
        <v>225432.834</v>
      </c>
      <c r="M37" s="295">
        <f t="shared" si="0"/>
        <v>260000.00400000002</v>
      </c>
      <c r="N37" s="32"/>
      <c r="O37" s="67"/>
      <c r="P37" s="67">
        <f t="shared" si="2"/>
        <v>0</v>
      </c>
      <c r="Q37" s="346">
        <f t="shared" si="1"/>
        <v>0</v>
      </c>
      <c r="R37" s="490">
        <f t="shared" si="3"/>
        <v>0</v>
      </c>
      <c r="S37" s="385">
        <v>34567.17</v>
      </c>
      <c r="T37" s="2" t="b">
        <f>A37=[6]FORM.2!A36</f>
        <v>1</v>
      </c>
      <c r="U37" s="2" t="b">
        <f>B37=[6]FORM.2!B36</f>
        <v>1</v>
      </c>
      <c r="V37" s="2" t="b">
        <f>E37=[6]FORM.2!D36</f>
        <v>0</v>
      </c>
      <c r="W37" s="2" t="b">
        <f>F37=[6]FORM.2!E36</f>
        <v>1</v>
      </c>
      <c r="X37" s="2" t="b">
        <f>G37=[6]FORM.2!F36</f>
        <v>1</v>
      </c>
      <c r="Y37" s="2" t="b">
        <f>H37=[6]FORM.2!G36</f>
        <v>1</v>
      </c>
      <c r="Z37" s="2" t="b">
        <f>I37=[6]FORM.2!H36</f>
        <v>1</v>
      </c>
      <c r="AA37" s="2" t="b">
        <f>J37=[6]FORM.2!J36</f>
        <v>1</v>
      </c>
      <c r="AB37" s="468"/>
    </row>
    <row r="38" spans="1:28" s="2" customFormat="1" ht="105" x14ac:dyDescent="0.25">
      <c r="A38" s="193" t="s">
        <v>663</v>
      </c>
      <c r="B38" s="194" t="s">
        <v>306</v>
      </c>
      <c r="C38" s="22" t="s">
        <v>308</v>
      </c>
      <c r="D38" s="22"/>
      <c r="E38" s="221" t="s">
        <v>554</v>
      </c>
      <c r="F38" s="23" t="s">
        <v>664</v>
      </c>
      <c r="G38" s="195" t="s">
        <v>38</v>
      </c>
      <c r="H38" s="23" t="s">
        <v>109</v>
      </c>
      <c r="I38" s="23" t="s">
        <v>665</v>
      </c>
      <c r="J38" s="196">
        <v>80000</v>
      </c>
      <c r="K38" s="196">
        <f>'Anexo 4.Quadro Descritivo.'!E583</f>
        <v>750</v>
      </c>
      <c r="L38" s="196">
        <f>'Anexo 4.Quadro Descritivo.'!F583</f>
        <v>79250</v>
      </c>
      <c r="M38" s="295">
        <f t="shared" si="0"/>
        <v>80000</v>
      </c>
      <c r="N38" s="32"/>
      <c r="O38" s="67"/>
      <c r="P38" s="67">
        <f t="shared" si="2"/>
        <v>0</v>
      </c>
      <c r="Q38" s="346">
        <f t="shared" si="1"/>
        <v>0</v>
      </c>
      <c r="R38" s="490">
        <f t="shared" si="3"/>
        <v>0</v>
      </c>
      <c r="S38" s="385">
        <v>750</v>
      </c>
      <c r="T38" s="2" t="b">
        <f>A38=[6]FORM.2!A37</f>
        <v>1</v>
      </c>
      <c r="U38" s="2" t="b">
        <f>B38=[6]FORM.2!B37</f>
        <v>1</v>
      </c>
      <c r="V38" s="2" t="b">
        <f>E38=[6]FORM.2!D37</f>
        <v>1</v>
      </c>
      <c r="W38" s="2" t="b">
        <f>F38=[6]FORM.2!E37</f>
        <v>1</v>
      </c>
      <c r="X38" s="2" t="b">
        <f>G38=[6]FORM.2!F37</f>
        <v>1</v>
      </c>
      <c r="Y38" s="2" t="b">
        <f>H38=[6]FORM.2!G37</f>
        <v>1</v>
      </c>
      <c r="Z38" s="2" t="b">
        <f>I38=[6]FORM.2!H37</f>
        <v>1</v>
      </c>
      <c r="AA38" s="2" t="b">
        <f>J38=[6]FORM.2!J37</f>
        <v>1</v>
      </c>
      <c r="AB38" s="468"/>
    </row>
    <row r="39" spans="1:28" s="2" customFormat="1" ht="105" x14ac:dyDescent="0.25">
      <c r="A39" s="193" t="s">
        <v>663</v>
      </c>
      <c r="B39" s="194" t="s">
        <v>306</v>
      </c>
      <c r="C39" s="22" t="s">
        <v>310</v>
      </c>
      <c r="D39" s="22"/>
      <c r="E39" s="221" t="s">
        <v>557</v>
      </c>
      <c r="F39" s="23" t="s">
        <v>666</v>
      </c>
      <c r="G39" s="195" t="s">
        <v>36</v>
      </c>
      <c r="H39" s="23" t="s">
        <v>109</v>
      </c>
      <c r="I39" s="23" t="s">
        <v>667</v>
      </c>
      <c r="J39" s="196">
        <v>12000</v>
      </c>
      <c r="K39" s="196">
        <f>'Anexo 4.Quadro Descritivo.'!E595</f>
        <v>0</v>
      </c>
      <c r="L39" s="196">
        <f>'Anexo 4.Quadro Descritivo.'!F595</f>
        <v>42720</v>
      </c>
      <c r="M39" s="295">
        <f t="shared" si="0"/>
        <v>42720</v>
      </c>
      <c r="N39" s="32"/>
      <c r="O39" s="67"/>
      <c r="P39" s="67">
        <f t="shared" si="2"/>
        <v>0</v>
      </c>
      <c r="Q39" s="346">
        <f t="shared" si="1"/>
        <v>30720</v>
      </c>
      <c r="R39" s="490">
        <f t="shared" si="3"/>
        <v>256</v>
      </c>
      <c r="S39" s="385">
        <v>0</v>
      </c>
      <c r="T39" s="2" t="b">
        <f>A39=[6]FORM.2!A38</f>
        <v>1</v>
      </c>
      <c r="U39" s="2" t="b">
        <f>B39=[6]FORM.2!B38</f>
        <v>1</v>
      </c>
      <c r="V39" s="2" t="b">
        <f>E39=[6]FORM.2!D38</f>
        <v>1</v>
      </c>
      <c r="W39" s="2" t="b">
        <f>F39=[6]FORM.2!E38</f>
        <v>1</v>
      </c>
      <c r="X39" s="2" t="b">
        <f>G39=[6]FORM.2!F38</f>
        <v>1</v>
      </c>
      <c r="Y39" s="2" t="b">
        <f>H39=[6]FORM.2!G38</f>
        <v>1</v>
      </c>
      <c r="Z39" s="2" t="b">
        <f>I39=[6]FORM.2!H38</f>
        <v>1</v>
      </c>
      <c r="AA39" s="2" t="b">
        <f>J39=[6]FORM.2!J38</f>
        <v>1</v>
      </c>
      <c r="AB39" s="468"/>
    </row>
    <row r="40" spans="1:28" s="2" customFormat="1" ht="46.5" x14ac:dyDescent="0.25">
      <c r="A40" s="193" t="s">
        <v>663</v>
      </c>
      <c r="B40" s="194" t="s">
        <v>305</v>
      </c>
      <c r="C40" s="22" t="s">
        <v>310</v>
      </c>
      <c r="D40" s="22"/>
      <c r="E40" s="221" t="s">
        <v>559</v>
      </c>
      <c r="F40" s="23" t="s">
        <v>668</v>
      </c>
      <c r="G40" s="195" t="s">
        <v>140</v>
      </c>
      <c r="H40" s="23" t="s">
        <v>107</v>
      </c>
      <c r="I40" s="23" t="s">
        <v>669</v>
      </c>
      <c r="J40" s="196">
        <v>28000</v>
      </c>
      <c r="K40" s="196">
        <f>'Anexo 4.Quadro Descritivo.'!E610</f>
        <v>618.17000000000007</v>
      </c>
      <c r="L40" s="196">
        <f>'Anexo 4.Quadro Descritivo.'!F610</f>
        <v>16429.099999999999</v>
      </c>
      <c r="M40" s="295">
        <f t="shared" si="0"/>
        <v>17047.269999999997</v>
      </c>
      <c r="N40" s="32"/>
      <c r="O40" s="67"/>
      <c r="P40" s="67">
        <f t="shared" si="2"/>
        <v>0</v>
      </c>
      <c r="Q40" s="346">
        <f t="shared" si="1"/>
        <v>-10952.730000000003</v>
      </c>
      <c r="R40" s="490">
        <f t="shared" si="3"/>
        <v>-39.116892857142872</v>
      </c>
      <c r="S40" s="385">
        <v>618.16999999999996</v>
      </c>
      <c r="T40" s="2" t="b">
        <f>A40=[6]FORM.2!A39</f>
        <v>1</v>
      </c>
      <c r="U40" s="2" t="b">
        <f>B40=[6]FORM.2!B39</f>
        <v>1</v>
      </c>
      <c r="V40" s="2" t="b">
        <f>E40=[6]FORM.2!D39</f>
        <v>1</v>
      </c>
      <c r="W40" s="2" t="b">
        <f>F40=[6]FORM.2!E39</f>
        <v>1</v>
      </c>
      <c r="X40" s="2" t="b">
        <f>G40=[6]FORM.2!F39</f>
        <v>1</v>
      </c>
      <c r="Y40" s="2" t="b">
        <f>H40=[6]FORM.2!G39</f>
        <v>1</v>
      </c>
      <c r="Z40" s="2" t="b">
        <f>I40=[6]FORM.2!H39</f>
        <v>1</v>
      </c>
      <c r="AA40" s="2" t="b">
        <f>J40=[6]FORM.2!J39</f>
        <v>1</v>
      </c>
      <c r="AB40" s="468"/>
    </row>
    <row r="41" spans="1:28" s="2" customFormat="1" ht="63" x14ac:dyDescent="0.25">
      <c r="A41" s="193" t="s">
        <v>663</v>
      </c>
      <c r="B41" s="194" t="s">
        <v>305</v>
      </c>
      <c r="C41" s="22" t="s">
        <v>310</v>
      </c>
      <c r="D41" s="22"/>
      <c r="E41" s="221" t="s">
        <v>564</v>
      </c>
      <c r="F41" s="23" t="s">
        <v>670</v>
      </c>
      <c r="G41" s="195" t="s">
        <v>33</v>
      </c>
      <c r="H41" s="23" t="s">
        <v>109</v>
      </c>
      <c r="I41" s="23" t="s">
        <v>671</v>
      </c>
      <c r="J41" s="196">
        <v>44000</v>
      </c>
      <c r="K41" s="196">
        <f>'Anexo 4.Quadro Descritivo.'!E625</f>
        <v>1087.05</v>
      </c>
      <c r="L41" s="196">
        <f>'Anexo 4.Quadro Descritivo.'!F625</f>
        <v>27694.57</v>
      </c>
      <c r="M41" s="295">
        <f t="shared" si="0"/>
        <v>28781.62</v>
      </c>
      <c r="N41" s="32"/>
      <c r="O41" s="67"/>
      <c r="P41" s="67">
        <f t="shared" si="2"/>
        <v>0</v>
      </c>
      <c r="Q41" s="346">
        <f t="shared" si="1"/>
        <v>-15218.380000000001</v>
      </c>
      <c r="R41" s="490">
        <f t="shared" si="3"/>
        <v>-34.587227272727276</v>
      </c>
      <c r="S41" s="385">
        <v>1087.05</v>
      </c>
      <c r="T41" s="2" t="b">
        <f>A41=[6]FORM.2!A40</f>
        <v>1</v>
      </c>
      <c r="U41" s="2" t="b">
        <f>B41=[6]FORM.2!B40</f>
        <v>1</v>
      </c>
      <c r="V41" s="2" t="b">
        <f>E41=[6]FORM.2!D40</f>
        <v>1</v>
      </c>
      <c r="W41" s="2" t="b">
        <f>F41=[6]FORM.2!E40</f>
        <v>1</v>
      </c>
      <c r="X41" s="2" t="b">
        <f>G41=[6]FORM.2!F40</f>
        <v>1</v>
      </c>
      <c r="Y41" s="2" t="b">
        <f>H41=[6]FORM.2!G40</f>
        <v>1</v>
      </c>
      <c r="Z41" s="2" t="b">
        <f>I41=[6]FORM.2!H40</f>
        <v>1</v>
      </c>
      <c r="AA41" s="2" t="b">
        <f>J41=[6]FORM.2!J40</f>
        <v>1</v>
      </c>
      <c r="AB41" s="468"/>
    </row>
    <row r="42" spans="1:28" s="2" customFormat="1" ht="46.5" x14ac:dyDescent="0.25">
      <c r="A42" s="193" t="s">
        <v>663</v>
      </c>
      <c r="B42" s="194" t="s">
        <v>306</v>
      </c>
      <c r="C42" s="22" t="s">
        <v>308</v>
      </c>
      <c r="D42" s="22"/>
      <c r="E42" s="221" t="s">
        <v>569</v>
      </c>
      <c r="F42" s="23" t="s">
        <v>672</v>
      </c>
      <c r="G42" s="195" t="s">
        <v>37</v>
      </c>
      <c r="H42" s="23" t="s">
        <v>105</v>
      </c>
      <c r="I42" s="23" t="s">
        <v>673</v>
      </c>
      <c r="J42" s="196">
        <v>119283.17000000001</v>
      </c>
      <c r="K42" s="196">
        <f>'Anexo 4.Quadro Descritivo.'!E648</f>
        <v>0</v>
      </c>
      <c r="L42" s="196">
        <f>'Anexo 4.Quadro Descritivo.'!F648</f>
        <v>119283.17</v>
      </c>
      <c r="M42" s="295">
        <f t="shared" si="0"/>
        <v>119283.17</v>
      </c>
      <c r="N42" s="32"/>
      <c r="O42" s="67"/>
      <c r="P42" s="67">
        <f t="shared" si="2"/>
        <v>0</v>
      </c>
      <c r="Q42" s="346">
        <f t="shared" si="1"/>
        <v>0</v>
      </c>
      <c r="R42" s="490">
        <f t="shared" si="3"/>
        <v>0</v>
      </c>
      <c r="S42" s="385">
        <v>0</v>
      </c>
      <c r="T42" s="2" t="b">
        <f>A42=[6]FORM.2!A41</f>
        <v>1</v>
      </c>
      <c r="U42" s="2" t="b">
        <f>B42=[6]FORM.2!B41</f>
        <v>1</v>
      </c>
      <c r="V42" s="2" t="b">
        <f>E42=[6]FORM.2!D41</f>
        <v>1</v>
      </c>
      <c r="W42" s="2" t="b">
        <f>F42=[6]FORM.2!E41</f>
        <v>1</v>
      </c>
      <c r="X42" s="2" t="b">
        <f>G42=[6]FORM.2!F41</f>
        <v>1</v>
      </c>
      <c r="Y42" s="2" t="b">
        <f>H42=[6]FORM.2!G41</f>
        <v>1</v>
      </c>
      <c r="Z42" s="2" t="b">
        <f>I42=[6]FORM.2!H41</f>
        <v>1</v>
      </c>
      <c r="AA42" s="2" t="b">
        <f>J42=[6]FORM.2!J41</f>
        <v>1</v>
      </c>
      <c r="AB42" s="468"/>
    </row>
    <row r="43" spans="1:28" s="2" customFormat="1" ht="69.75" x14ac:dyDescent="0.25">
      <c r="A43" s="193" t="s">
        <v>663</v>
      </c>
      <c r="B43" s="194" t="s">
        <v>305</v>
      </c>
      <c r="C43" s="22" t="s">
        <v>308</v>
      </c>
      <c r="D43" s="22"/>
      <c r="E43" s="221" t="s">
        <v>574</v>
      </c>
      <c r="F43" s="23" t="s">
        <v>674</v>
      </c>
      <c r="G43" s="195" t="s">
        <v>29</v>
      </c>
      <c r="H43" s="23" t="s">
        <v>110</v>
      </c>
      <c r="I43" s="23" t="s">
        <v>675</v>
      </c>
      <c r="J43" s="196">
        <v>150000</v>
      </c>
      <c r="K43" s="196"/>
      <c r="L43" s="196">
        <f>'Anexo 4.Quadro Descritivo.'!F660</f>
        <v>150000</v>
      </c>
      <c r="M43" s="295">
        <f t="shared" si="0"/>
        <v>150000</v>
      </c>
      <c r="N43" s="32"/>
      <c r="O43" s="67"/>
      <c r="P43" s="67">
        <f t="shared" si="2"/>
        <v>0</v>
      </c>
      <c r="Q43" s="346">
        <f t="shared" si="1"/>
        <v>0</v>
      </c>
      <c r="R43" s="490">
        <f t="shared" si="3"/>
        <v>0</v>
      </c>
      <c r="S43" s="385">
        <v>0</v>
      </c>
      <c r="T43" s="2" t="b">
        <f>A43=[6]FORM.2!A42</f>
        <v>1</v>
      </c>
      <c r="U43" s="2" t="b">
        <f>B43=[6]FORM.2!B42</f>
        <v>1</v>
      </c>
      <c r="V43" s="2" t="b">
        <f>E43=[6]FORM.2!D42</f>
        <v>1</v>
      </c>
      <c r="W43" s="2" t="b">
        <f>F43=[6]FORM.2!E42</f>
        <v>1</v>
      </c>
      <c r="X43" s="2" t="b">
        <f>G43=[6]FORM.2!F42</f>
        <v>1</v>
      </c>
      <c r="Y43" s="2" t="b">
        <f>H43=[6]FORM.2!G42</f>
        <v>1</v>
      </c>
      <c r="Z43" s="2" t="b">
        <f>I43=[6]FORM.2!H42</f>
        <v>1</v>
      </c>
      <c r="AA43" s="2" t="b">
        <f>J43=[6]FORM.2!J42</f>
        <v>1</v>
      </c>
      <c r="AB43" s="468"/>
    </row>
    <row r="44" spans="1:28" s="2" customFormat="1" ht="63" x14ac:dyDescent="0.25">
      <c r="A44" s="193" t="s">
        <v>663</v>
      </c>
      <c r="B44" s="194" t="s">
        <v>305</v>
      </c>
      <c r="C44" s="22" t="s">
        <v>308</v>
      </c>
      <c r="D44" s="22"/>
      <c r="E44" s="221" t="s">
        <v>576</v>
      </c>
      <c r="F44" s="23" t="s">
        <v>676</v>
      </c>
      <c r="G44" s="195" t="s">
        <v>34</v>
      </c>
      <c r="H44" s="23" t="s">
        <v>107</v>
      </c>
      <c r="I44" s="23" t="s">
        <v>675</v>
      </c>
      <c r="J44" s="196">
        <v>300000</v>
      </c>
      <c r="K44" s="196"/>
      <c r="L44" s="196">
        <f>'Anexo 4.Quadro Descritivo.'!F672</f>
        <v>300000</v>
      </c>
      <c r="M44" s="295">
        <f t="shared" si="0"/>
        <v>300000</v>
      </c>
      <c r="N44" s="32"/>
      <c r="O44" s="67"/>
      <c r="P44" s="67">
        <f t="shared" si="2"/>
        <v>0</v>
      </c>
      <c r="Q44" s="346">
        <f t="shared" si="1"/>
        <v>0</v>
      </c>
      <c r="R44" s="490">
        <f t="shared" si="3"/>
        <v>0</v>
      </c>
      <c r="S44" s="385">
        <v>0</v>
      </c>
      <c r="T44" s="2" t="b">
        <f>A44=[6]FORM.2!A43</f>
        <v>1</v>
      </c>
      <c r="U44" s="2" t="b">
        <f>B44=[6]FORM.2!B43</f>
        <v>1</v>
      </c>
      <c r="V44" s="2" t="b">
        <f>E44=[6]FORM.2!D43</f>
        <v>1</v>
      </c>
      <c r="W44" s="2" t="b">
        <f>F44=[6]FORM.2!E43</f>
        <v>1</v>
      </c>
      <c r="X44" s="2" t="b">
        <f>G44=[6]FORM.2!F43</f>
        <v>1</v>
      </c>
      <c r="Y44" s="2" t="b">
        <f>H44=[6]FORM.2!G43</f>
        <v>1</v>
      </c>
      <c r="Z44" s="2" t="b">
        <f>I44=[6]FORM.2!H43</f>
        <v>1</v>
      </c>
      <c r="AA44" s="2" t="b">
        <f>J44=[6]FORM.2!J43</f>
        <v>1</v>
      </c>
      <c r="AB44" s="468"/>
    </row>
    <row r="45" spans="1:28" s="2" customFormat="1" ht="63" x14ac:dyDescent="0.25">
      <c r="A45" s="193" t="s">
        <v>677</v>
      </c>
      <c r="B45" s="194" t="s">
        <v>306</v>
      </c>
      <c r="C45" s="22" t="s">
        <v>310</v>
      </c>
      <c r="D45" s="22"/>
      <c r="E45" s="221" t="s">
        <v>577</v>
      </c>
      <c r="F45" s="23" t="s">
        <v>678</v>
      </c>
      <c r="G45" s="195" t="s">
        <v>36</v>
      </c>
      <c r="H45" s="23" t="s">
        <v>109</v>
      </c>
      <c r="I45" s="23" t="s">
        <v>679</v>
      </c>
      <c r="J45" s="196">
        <v>415780.14600000001</v>
      </c>
      <c r="K45" s="196">
        <f>'Anexo 4.Quadro Descritivo.'!E688</f>
        <v>118092.6</v>
      </c>
      <c r="L45" s="196">
        <f>'Anexo 4.Quadro Descritivo.'!F688</f>
        <v>209700.17593</v>
      </c>
      <c r="M45" s="295">
        <f t="shared" si="0"/>
        <v>327792.77593</v>
      </c>
      <c r="N45" s="32"/>
      <c r="O45" s="67"/>
      <c r="P45" s="67">
        <f t="shared" si="2"/>
        <v>0</v>
      </c>
      <c r="Q45" s="346">
        <f t="shared" si="1"/>
        <v>-87987.370070000004</v>
      </c>
      <c r="R45" s="490">
        <f t="shared" si="3"/>
        <v>-21.161994125135546</v>
      </c>
      <c r="S45" s="385">
        <v>118092.6</v>
      </c>
      <c r="T45" s="2" t="b">
        <f>A45=[6]FORM.2!A44</f>
        <v>1</v>
      </c>
      <c r="U45" s="2" t="b">
        <f>B45=[6]FORM.2!B44</f>
        <v>1</v>
      </c>
      <c r="V45" s="2" t="b">
        <f>E45=[6]FORM.2!D44</f>
        <v>1</v>
      </c>
      <c r="W45" s="2" t="b">
        <f>F45=[6]FORM.2!E44</f>
        <v>1</v>
      </c>
      <c r="X45" s="2" t="b">
        <f>G45=[6]FORM.2!F44</f>
        <v>1</v>
      </c>
      <c r="Y45" s="2" t="b">
        <f>H45=[6]FORM.2!G44</f>
        <v>1</v>
      </c>
      <c r="Z45" s="2" t="b">
        <f>I45=[6]FORM.2!H44</f>
        <v>1</v>
      </c>
      <c r="AA45" s="2" t="b">
        <f>J45=[6]FORM.2!J44</f>
        <v>1</v>
      </c>
      <c r="AB45" s="468"/>
    </row>
    <row r="46" spans="1:28" s="443" customFormat="1" ht="84" x14ac:dyDescent="0.25">
      <c r="A46" s="193" t="s">
        <v>663</v>
      </c>
      <c r="B46" s="194" t="s">
        <v>305</v>
      </c>
      <c r="C46" s="22" t="s">
        <v>309</v>
      </c>
      <c r="D46" s="22"/>
      <c r="E46" s="221" t="s">
        <v>751</v>
      </c>
      <c r="F46" s="23" t="s">
        <v>701</v>
      </c>
      <c r="G46" s="195" t="s">
        <v>29</v>
      </c>
      <c r="H46" s="23" t="s">
        <v>107</v>
      </c>
      <c r="I46" s="23" t="s">
        <v>702</v>
      </c>
      <c r="J46" s="196">
        <v>0</v>
      </c>
      <c r="K46" s="196">
        <v>0</v>
      </c>
      <c r="L46" s="441">
        <f>'Anexo 4.Quadro Descritivo.'!F699</f>
        <v>150000</v>
      </c>
      <c r="M46" s="196">
        <f t="shared" si="0"/>
        <v>150000</v>
      </c>
      <c r="N46" s="32"/>
      <c r="O46" s="67"/>
      <c r="P46" s="67">
        <f t="shared" si="2"/>
        <v>0</v>
      </c>
      <c r="Q46" s="346">
        <f t="shared" si="1"/>
        <v>150000</v>
      </c>
      <c r="R46" s="490">
        <v>0</v>
      </c>
      <c r="S46" s="442">
        <v>0</v>
      </c>
      <c r="T46" s="443" t="s">
        <v>771</v>
      </c>
      <c r="U46" s="443" t="s">
        <v>771</v>
      </c>
      <c r="V46" s="443" t="s">
        <v>771</v>
      </c>
      <c r="W46" s="443" t="s">
        <v>771</v>
      </c>
      <c r="X46" s="443" t="s">
        <v>771</v>
      </c>
      <c r="Y46" s="443" t="s">
        <v>771</v>
      </c>
      <c r="Z46" s="443" t="s">
        <v>771</v>
      </c>
      <c r="AA46" s="443" t="s">
        <v>771</v>
      </c>
      <c r="AB46" s="468"/>
    </row>
    <row r="47" spans="1:28" s="443" customFormat="1" ht="69.75" x14ac:dyDescent="0.25">
      <c r="A47" s="193" t="s">
        <v>663</v>
      </c>
      <c r="B47" s="194" t="s">
        <v>305</v>
      </c>
      <c r="C47" s="22" t="s">
        <v>309</v>
      </c>
      <c r="D47" s="22"/>
      <c r="E47" s="221" t="s">
        <v>699</v>
      </c>
      <c r="F47" s="23" t="s">
        <v>703</v>
      </c>
      <c r="G47" s="195" t="s">
        <v>29</v>
      </c>
      <c r="H47" s="23" t="s">
        <v>110</v>
      </c>
      <c r="I47" s="23" t="s">
        <v>704</v>
      </c>
      <c r="J47" s="444"/>
      <c r="K47" s="444"/>
      <c r="L47" s="445">
        <f>'Anexo 4.Quadro Descritivo.'!F711</f>
        <v>22800</v>
      </c>
      <c r="M47" s="196">
        <f t="shared" si="0"/>
        <v>22800</v>
      </c>
      <c r="N47" s="446"/>
      <c r="O47" s="67"/>
      <c r="P47" s="67">
        <f t="shared" si="2"/>
        <v>0</v>
      </c>
      <c r="Q47" s="346">
        <f t="shared" si="1"/>
        <v>22800</v>
      </c>
      <c r="R47" s="490">
        <v>0</v>
      </c>
      <c r="S47" s="442">
        <v>0</v>
      </c>
      <c r="T47" s="443" t="s">
        <v>771</v>
      </c>
      <c r="U47" s="443" t="s">
        <v>771</v>
      </c>
      <c r="V47" s="443" t="s">
        <v>771</v>
      </c>
      <c r="W47" s="443" t="s">
        <v>771</v>
      </c>
      <c r="X47" s="443" t="s">
        <v>771</v>
      </c>
      <c r="Y47" s="443" t="s">
        <v>771</v>
      </c>
      <c r="Z47" s="443" t="s">
        <v>771</v>
      </c>
      <c r="AA47" s="443" t="s">
        <v>771</v>
      </c>
      <c r="AB47" s="468"/>
    </row>
    <row r="48" spans="1:28" s="2" customFormat="1" ht="21.75" thickBot="1" x14ac:dyDescent="0.3">
      <c r="A48" s="615" t="s">
        <v>6</v>
      </c>
      <c r="B48" s="616"/>
      <c r="C48" s="616"/>
      <c r="D48" s="616"/>
      <c r="E48" s="616"/>
      <c r="F48" s="616"/>
      <c r="G48" s="616"/>
      <c r="H48" s="616"/>
      <c r="I48" s="617"/>
      <c r="J48" s="197">
        <f>SUM(J9:J47)</f>
        <v>10359138.999999996</v>
      </c>
      <c r="K48" s="197">
        <f>SUM(K9:K47)</f>
        <v>2887206.5099999993</v>
      </c>
      <c r="L48" s="197">
        <f>SUM(L9:L47)</f>
        <v>7722946.1699999999</v>
      </c>
      <c r="M48" s="197">
        <f>SUM(M9:M47)</f>
        <v>10610152.679999998</v>
      </c>
      <c r="N48" s="33">
        <f>SUM(N9:N45)</f>
        <v>0</v>
      </c>
      <c r="O48" s="33">
        <f>SUM(O9:O46)</f>
        <v>0</v>
      </c>
      <c r="P48" s="33">
        <f>SUM(P9:P46)</f>
        <v>0</v>
      </c>
      <c r="Q48" s="197">
        <f>SUM(Q9:Q47)</f>
        <v>251013.68000000346</v>
      </c>
      <c r="R48" s="197">
        <f t="shared" si="3"/>
        <v>2.4231133494782098</v>
      </c>
      <c r="S48" s="382"/>
      <c r="AB48" s="468"/>
    </row>
    <row r="49" spans="1:28" s="2" customFormat="1" ht="19.5" x14ac:dyDescent="0.3">
      <c r="A49" s="606" t="s">
        <v>186</v>
      </c>
      <c r="B49" s="606"/>
      <c r="C49" s="606"/>
      <c r="D49" s="606"/>
      <c r="E49" s="606"/>
      <c r="F49" s="606"/>
      <c r="G49" s="606"/>
      <c r="H49" s="606"/>
      <c r="I49" s="606"/>
      <c r="J49" s="606"/>
      <c r="K49" s="606"/>
      <c r="L49" s="606"/>
      <c r="M49" s="606"/>
      <c r="N49" s="606"/>
      <c r="O49" s="606"/>
      <c r="P49" s="606"/>
      <c r="Q49" s="606"/>
      <c r="R49" s="606"/>
      <c r="S49" s="353"/>
      <c r="AB49" s="2" t="s">
        <v>208</v>
      </c>
    </row>
    <row r="50" spans="1:28" s="2" customFormat="1" x14ac:dyDescent="0.25">
      <c r="A50" s="611" t="s">
        <v>204</v>
      </c>
      <c r="B50" s="611"/>
      <c r="C50" s="611"/>
      <c r="D50" s="611"/>
      <c r="E50" s="611"/>
      <c r="F50" s="611"/>
      <c r="G50" s="611"/>
      <c r="H50" s="611"/>
      <c r="I50" s="611"/>
      <c r="J50" s="611"/>
      <c r="K50" s="611"/>
      <c r="L50" s="611"/>
      <c r="M50" s="611"/>
      <c r="N50" s="611"/>
      <c r="O50" s="611"/>
      <c r="P50" s="611"/>
      <c r="Q50" s="611"/>
      <c r="R50" s="611"/>
      <c r="S50" s="383"/>
      <c r="T50" s="347"/>
    </row>
    <row r="51" spans="1:28" s="2" customFormat="1" ht="114.75" customHeight="1" x14ac:dyDescent="0.25">
      <c r="A51" s="610" t="s">
        <v>767</v>
      </c>
      <c r="B51" s="610"/>
      <c r="C51" s="610"/>
      <c r="D51" s="610"/>
      <c r="E51" s="610"/>
      <c r="F51" s="610"/>
      <c r="G51" s="610"/>
      <c r="H51" s="610"/>
      <c r="I51" s="610"/>
      <c r="J51" s="610"/>
      <c r="K51" s="610"/>
      <c r="L51" s="610"/>
      <c r="M51" s="610"/>
      <c r="N51" s="610"/>
      <c r="O51" s="610"/>
      <c r="P51" s="610"/>
      <c r="Q51" s="610"/>
      <c r="R51" s="610"/>
      <c r="S51" s="384"/>
    </row>
    <row r="52" spans="1:28" s="2" customFormat="1" x14ac:dyDescent="0.25">
      <c r="A52" s="609"/>
      <c r="B52" s="609"/>
      <c r="C52" s="609"/>
      <c r="D52" s="609"/>
      <c r="E52" s="609"/>
      <c r="F52" s="609"/>
      <c r="G52" s="609"/>
      <c r="H52" s="609"/>
      <c r="I52" s="609"/>
      <c r="J52" s="609"/>
      <c r="K52" s="609"/>
      <c r="L52" s="609"/>
      <c r="M52" s="609"/>
      <c r="N52" s="609"/>
      <c r="O52" s="609"/>
      <c r="P52" s="609"/>
      <c r="Q52" s="609"/>
      <c r="R52" s="609"/>
      <c r="S52" s="354"/>
      <c r="AB52" s="439"/>
    </row>
    <row r="54" spans="1:28" ht="28.5" x14ac:dyDescent="0.45">
      <c r="M54" s="277"/>
    </row>
    <row r="56" spans="1:28" x14ac:dyDescent="0.35">
      <c r="M56" s="245"/>
    </row>
    <row r="58" spans="1:28" x14ac:dyDescent="0.35">
      <c r="M58" s="271"/>
    </row>
    <row r="59" spans="1:28" x14ac:dyDescent="0.35">
      <c r="J59" s="245"/>
    </row>
    <row r="60" spans="1:28" x14ac:dyDescent="0.35">
      <c r="J60" s="246"/>
      <c r="M60" s="276"/>
    </row>
    <row r="61" spans="1:28" x14ac:dyDescent="0.35">
      <c r="J61" s="246"/>
    </row>
  </sheetData>
  <sheetProtection formatCells="0" formatRows="0" insertRows="0" deleteRows="0"/>
  <autoFilter ref="A7:R51" xr:uid="{00000000-0009-0000-0000-000005000000}">
    <filterColumn colId="10" showButton="0"/>
    <filterColumn colId="16" showButton="0"/>
  </autoFilter>
  <mergeCells count="28">
    <mergeCell ref="AC18:AD21"/>
    <mergeCell ref="AE9:AI9"/>
    <mergeCell ref="A2:R2"/>
    <mergeCell ref="I7:I8"/>
    <mergeCell ref="Q7:R7"/>
    <mergeCell ref="A7:A8"/>
    <mergeCell ref="B7:B8"/>
    <mergeCell ref="E7:E8"/>
    <mergeCell ref="G7:G8"/>
    <mergeCell ref="F7:F8"/>
    <mergeCell ref="A3:R3"/>
    <mergeCell ref="K7:L7"/>
    <mergeCell ref="D7:D8"/>
    <mergeCell ref="N7:N8"/>
    <mergeCell ref="A6:N6"/>
    <mergeCell ref="O6:R6"/>
    <mergeCell ref="A4:N4"/>
    <mergeCell ref="A49:R49"/>
    <mergeCell ref="C7:C8"/>
    <mergeCell ref="A52:R52"/>
    <mergeCell ref="A51:R51"/>
    <mergeCell ref="A50:R50"/>
    <mergeCell ref="J7:J8"/>
    <mergeCell ref="O7:O8"/>
    <mergeCell ref="M7:M8"/>
    <mergeCell ref="A48:I48"/>
    <mergeCell ref="H7:H8"/>
    <mergeCell ref="P7:P8"/>
  </mergeCells>
  <conditionalFormatting sqref="T9:AA19 T20:U33 W20:AA45 T38:V45 T34:V36 T37:U37 V24:V32">
    <cfRule type="cellIs" dxfId="14" priority="3" operator="greaterThan">
      <formula>"V"</formula>
    </cfRule>
  </conditionalFormatting>
  <conditionalFormatting sqref="X13 V20:V23 V33 V37">
    <cfRule type="cellIs" dxfId="13" priority="2" operator="greaterThan">
      <formula>"F"</formula>
    </cfRule>
  </conditionalFormatting>
  <conditionalFormatting sqref="X13">
    <cfRule type="cellIs" dxfId="12" priority="1" operator="greaterThan">
      <formula>"V"</formula>
    </cfRule>
  </conditionalFormatting>
  <dataValidations count="3">
    <dataValidation type="list" allowBlank="1" showInputMessage="1" showErrorMessage="1" sqref="D9:D47" xr:uid="{00000000-0002-0000-0500-000000000000}">
      <formula1>"X"</formula1>
    </dataValidation>
    <dataValidation type="list" allowBlank="1" showInputMessage="1" showErrorMessage="1" sqref="C9:C47" xr:uid="{00000000-0002-0000-0500-000001000000}">
      <formula1>$AH$3:$AH$8</formula1>
    </dataValidation>
    <dataValidation type="list" allowBlank="1" showInputMessage="1" showErrorMessage="1" sqref="B9:B47" xr:uid="{00000000-0002-0000-0500-000002000000}">
      <formula1>$AG$3:$AG$5</formula1>
    </dataValidation>
  </dataValidations>
  <pageMargins left="0.23622047244094491" right="0.23622047244094491" top="0.74803149606299213" bottom="0.74803149606299213" header="0.31496062992125984" footer="0.31496062992125984"/>
  <pageSetup paperSize="9" scale="50" fitToHeight="0" orientation="portrait" r:id="rId1"/>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500-000003000000}">
          <x14:formula1>
            <xm:f>'Resumo (2)'!$Q$1:$Q$16</xm:f>
          </x14:formula1>
          <xm:sqref>G9:G47</xm:sqref>
        </x14:dataValidation>
        <x14:dataValidation type="list" allowBlank="1" showInputMessage="1" showErrorMessage="1" xr:uid="{00000000-0002-0000-0500-000004000000}">
          <x14:formula1>
            <xm:f>Resumo!$B$1:$B$17</xm:f>
          </x14:formula1>
          <xm:sqref>H9:H47</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Plan7">
    <tabColor rgb="FF777777"/>
    <pageSetUpPr fitToPage="1"/>
  </sheetPr>
  <dimension ref="A1:AC62"/>
  <sheetViews>
    <sheetView showGridLines="0" topLeftCell="H41" zoomScale="70" zoomScaleNormal="70" zoomScaleSheetLayoutView="80" workbookViewId="0">
      <selection activeCell="P49" sqref="P49"/>
    </sheetView>
  </sheetViews>
  <sheetFormatPr defaultRowHeight="15" x14ac:dyDescent="0.25"/>
  <cols>
    <col min="1" max="1" width="52.85546875" customWidth="1"/>
    <col min="2" max="2" width="28.28515625" bestFit="1" customWidth="1"/>
    <col min="3" max="3" width="33.42578125" style="61" customWidth="1"/>
    <col min="4" max="4" width="20.7109375" style="283" customWidth="1"/>
    <col min="5" max="5" width="28.42578125" style="283" customWidth="1"/>
    <col min="6" max="6" width="34.85546875" style="225" customWidth="1"/>
    <col min="7" max="7" width="17.28515625" customWidth="1"/>
    <col min="8" max="8" width="27.5703125" customWidth="1"/>
    <col min="9" max="9" width="17.42578125" customWidth="1"/>
    <col min="10" max="10" width="17.42578125" style="6" hidden="1" customWidth="1"/>
    <col min="11" max="11" width="14" hidden="1" customWidth="1"/>
    <col min="12" max="12" width="14.42578125" hidden="1" customWidth="1"/>
    <col min="13" max="13" width="18.5703125" customWidth="1"/>
    <col min="14" max="14" width="13.5703125" bestFit="1" customWidth="1"/>
    <col min="15" max="15" width="11.28515625" bestFit="1" customWidth="1"/>
    <col min="16" max="16" width="33.5703125" customWidth="1"/>
  </cols>
  <sheetData>
    <row r="1" spans="1:29" hidden="1" x14ac:dyDescent="0.25"/>
    <row r="2" spans="1:29" hidden="1" x14ac:dyDescent="0.25"/>
    <row r="3" spans="1:29" ht="30.75" hidden="1" customHeight="1" x14ac:dyDescent="0.25"/>
    <row r="4" spans="1:29" ht="79.5" customHeight="1" x14ac:dyDescent="0.25">
      <c r="A4" s="657" t="s">
        <v>249</v>
      </c>
      <c r="B4" s="657"/>
      <c r="C4" s="657"/>
      <c r="D4" s="657"/>
      <c r="E4" s="657"/>
      <c r="F4" s="657"/>
      <c r="G4" s="657"/>
      <c r="H4" s="657"/>
      <c r="I4" s="657"/>
      <c r="J4" s="365"/>
    </row>
    <row r="5" spans="1:29" ht="23.25" x14ac:dyDescent="0.25">
      <c r="A5" s="664" t="s">
        <v>706</v>
      </c>
      <c r="B5" s="665"/>
      <c r="C5" s="665"/>
      <c r="D5" s="665"/>
      <c r="E5" s="665"/>
      <c r="F5" s="665"/>
      <c r="G5" s="665"/>
      <c r="H5" s="665"/>
      <c r="I5" s="665"/>
      <c r="J5" s="366"/>
      <c r="N5" s="494"/>
      <c r="O5" s="495"/>
      <c r="P5" s="495"/>
      <c r="Q5" s="495"/>
      <c r="R5" s="495"/>
      <c r="S5" s="495"/>
    </row>
    <row r="6" spans="1:29" s="1" customFormat="1" ht="53.25" customHeight="1" x14ac:dyDescent="0.25">
      <c r="A6" s="666" t="s">
        <v>750</v>
      </c>
      <c r="B6" s="667"/>
      <c r="C6" s="667"/>
      <c r="D6" s="667"/>
      <c r="E6" s="667"/>
      <c r="F6" s="667"/>
      <c r="G6" s="667"/>
      <c r="H6" s="667"/>
      <c r="I6" s="667"/>
      <c r="J6" s="367"/>
      <c r="K6" s="3"/>
      <c r="L6" s="3"/>
      <c r="M6" s="3"/>
      <c r="N6" s="3"/>
      <c r="O6" s="3"/>
    </row>
    <row r="7" spans="1:29" s="1" customFormat="1" ht="21" customHeight="1" x14ac:dyDescent="0.25">
      <c r="A7" s="674"/>
      <c r="B7" s="674"/>
      <c r="C7" s="674"/>
      <c r="D7" s="674"/>
      <c r="E7" s="674"/>
      <c r="F7" s="674"/>
      <c r="G7" s="20" t="s">
        <v>23</v>
      </c>
      <c r="H7" s="19"/>
      <c r="I7" s="3"/>
      <c r="J7" s="3"/>
      <c r="K7" s="3"/>
      <c r="L7" s="3"/>
      <c r="M7" s="3"/>
      <c r="N7" s="3"/>
      <c r="O7" s="3"/>
    </row>
    <row r="8" spans="1:29" ht="44.25" customHeight="1" x14ac:dyDescent="0.25">
      <c r="A8" s="668" t="s">
        <v>7</v>
      </c>
      <c r="B8" s="669"/>
      <c r="C8" s="675" t="s">
        <v>247</v>
      </c>
      <c r="D8" s="659" t="s">
        <v>241</v>
      </c>
      <c r="E8" s="660"/>
      <c r="F8" s="661"/>
      <c r="G8" s="672" t="s">
        <v>24</v>
      </c>
      <c r="H8" s="673"/>
      <c r="I8" s="662" t="s">
        <v>189</v>
      </c>
      <c r="J8" s="368"/>
      <c r="L8" s="8"/>
      <c r="M8" s="8"/>
      <c r="N8" s="8"/>
      <c r="O8" s="8"/>
      <c r="P8" s="8"/>
      <c r="Q8" s="8"/>
      <c r="R8" s="8"/>
      <c r="S8" s="8"/>
      <c r="T8" s="8"/>
      <c r="U8" s="8"/>
      <c r="V8" s="8"/>
      <c r="W8" s="8"/>
      <c r="X8" s="8"/>
      <c r="Y8" s="8"/>
      <c r="Z8" s="4"/>
      <c r="AA8" s="4"/>
      <c r="AB8" s="4"/>
      <c r="AC8" s="4"/>
    </row>
    <row r="9" spans="1:29" ht="67.5" customHeight="1" x14ac:dyDescent="0.25">
      <c r="A9" s="670"/>
      <c r="B9" s="671"/>
      <c r="C9" s="676"/>
      <c r="D9" s="284" t="s">
        <v>766</v>
      </c>
      <c r="E9" s="284" t="s">
        <v>250</v>
      </c>
      <c r="F9" s="226" t="s">
        <v>248</v>
      </c>
      <c r="G9" s="80" t="s">
        <v>190</v>
      </c>
      <c r="H9" s="80" t="s">
        <v>191</v>
      </c>
      <c r="I9" s="662"/>
      <c r="J9" s="368"/>
      <c r="K9" s="324" t="s">
        <v>752</v>
      </c>
      <c r="L9" s="4"/>
      <c r="M9" s="4"/>
      <c r="N9" s="493"/>
      <c r="O9" s="493"/>
      <c r="P9" s="493"/>
      <c r="Q9" s="493"/>
      <c r="R9" s="493"/>
      <c r="S9" s="493"/>
      <c r="T9" s="493"/>
      <c r="U9" s="4"/>
      <c r="V9" s="4"/>
      <c r="W9" s="4"/>
      <c r="X9" s="4"/>
      <c r="Y9" s="4"/>
      <c r="Z9" s="4"/>
      <c r="AA9" s="4"/>
      <c r="AB9" s="4"/>
      <c r="AC9" s="4"/>
    </row>
    <row r="10" spans="1:29" ht="24.95" customHeight="1" x14ac:dyDescent="0.25">
      <c r="A10" s="640" t="s">
        <v>8</v>
      </c>
      <c r="B10" s="640"/>
      <c r="C10" s="81"/>
      <c r="D10" s="285"/>
      <c r="E10" s="285"/>
      <c r="F10" s="227"/>
      <c r="G10" s="82"/>
      <c r="H10" s="663"/>
      <c r="I10" s="663"/>
      <c r="J10" s="369"/>
      <c r="L10" s="4"/>
      <c r="M10" s="4"/>
      <c r="N10" s="4"/>
      <c r="O10" s="4"/>
      <c r="P10" s="4"/>
      <c r="Q10" s="4"/>
      <c r="R10" s="4"/>
      <c r="S10" s="4"/>
      <c r="T10" s="4"/>
      <c r="U10" s="4"/>
      <c r="V10" s="4"/>
      <c r="W10" s="4"/>
      <c r="X10" s="4"/>
      <c r="Y10" s="4"/>
      <c r="Z10" s="4"/>
      <c r="AA10" s="4"/>
      <c r="AB10" s="4"/>
      <c r="AC10" s="4"/>
    </row>
    <row r="11" spans="1:29" ht="29.25" customHeight="1" x14ac:dyDescent="0.25">
      <c r="A11" s="639" t="s">
        <v>9</v>
      </c>
      <c r="B11" s="639"/>
      <c r="C11" s="198">
        <f>C12+C22+C23+C24</f>
        <v>10359138.999999998</v>
      </c>
      <c r="D11" s="198">
        <f>D12+D22+D23+D24</f>
        <v>6008666.0600000005</v>
      </c>
      <c r="E11" s="198">
        <f>E12+E22+E23+E24</f>
        <v>4601486.620000001</v>
      </c>
      <c r="F11" s="230">
        <f>F12+F22+F23+F24</f>
        <v>10610152.68</v>
      </c>
      <c r="G11" s="198">
        <f>F11-C11</f>
        <v>251013.68000000156</v>
      </c>
      <c r="H11" s="24">
        <f>IFERROR(G11/C11*100,)</f>
        <v>2.4231133494781911</v>
      </c>
      <c r="I11" s="24">
        <f>IFERROR(F11/$F$28*100,0)</f>
        <v>100</v>
      </c>
      <c r="J11" s="364" t="b">
        <f>C11=[6]FORM.1!D7</f>
        <v>1</v>
      </c>
      <c r="K11">
        <f>'Tabela Resumo'!AH3</f>
        <v>10264202.911632799</v>
      </c>
      <c r="L11" s="4" t="b">
        <f>K11=F11</f>
        <v>0</v>
      </c>
      <c r="M11" s="4"/>
      <c r="N11" s="300"/>
      <c r="O11" s="458"/>
      <c r="P11" s="458"/>
      <c r="Q11" s="458"/>
      <c r="R11" s="458"/>
      <c r="S11" s="458"/>
      <c r="T11" s="458"/>
      <c r="U11" s="458"/>
      <c r="V11" s="458"/>
      <c r="W11" s="458"/>
      <c r="X11" s="458"/>
      <c r="Y11" s="4"/>
      <c r="Z11" s="4"/>
      <c r="AA11" s="4"/>
      <c r="AB11" s="4"/>
      <c r="AC11" s="4"/>
    </row>
    <row r="12" spans="1:29" ht="29.25" customHeight="1" x14ac:dyDescent="0.25">
      <c r="A12" s="642" t="s">
        <v>97</v>
      </c>
      <c r="B12" s="642"/>
      <c r="C12" s="198">
        <f>C13+C20+C21</f>
        <v>10121554.399999999</v>
      </c>
      <c r="D12" s="198">
        <f>D13+D20+D21</f>
        <v>5830866.1699999999</v>
      </c>
      <c r="E12" s="198">
        <f>E13+E20+E21</f>
        <v>4390127.2200000007</v>
      </c>
      <c r="F12" s="273">
        <f>F13+F20+F21</f>
        <v>10220993.389999999</v>
      </c>
      <c r="G12" s="198">
        <f t="shared" ref="G12:G38" si="0">F12-C12</f>
        <v>99438.990000000224</v>
      </c>
      <c r="H12" s="24">
        <f t="shared" ref="H12:H37" si="1">IFERROR(G12/C12*100,)</f>
        <v>0.98244781453726349</v>
      </c>
      <c r="I12" s="24">
        <f t="shared" ref="I12:I28" si="2">IFERROR(F12/$F$28*100,0)</f>
        <v>96.332198963229231</v>
      </c>
      <c r="J12" s="364" t="b">
        <f>C12=[6]FORM.1!D8</f>
        <v>1</v>
      </c>
      <c r="K12">
        <f>'Tabela Resumo'!AH4</f>
        <v>10220993.389999999</v>
      </c>
      <c r="L12" s="4" t="b">
        <f>K12=F12</f>
        <v>1</v>
      </c>
      <c r="M12" s="4"/>
      <c r="N12" s="300"/>
      <c r="O12" s="458"/>
      <c r="P12" s="458"/>
      <c r="Q12" s="458"/>
      <c r="R12" s="458"/>
      <c r="S12" s="458"/>
      <c r="T12" s="458"/>
      <c r="U12" s="458"/>
      <c r="V12" s="458"/>
      <c r="W12" s="458"/>
      <c r="X12" s="458"/>
      <c r="Y12" s="4"/>
      <c r="Z12" s="4"/>
      <c r="AA12" s="4"/>
      <c r="AB12" s="4"/>
      <c r="AC12" s="4"/>
    </row>
    <row r="13" spans="1:29" ht="29.25" customHeight="1" x14ac:dyDescent="0.25">
      <c r="A13" s="642" t="s">
        <v>10</v>
      </c>
      <c r="B13" s="642"/>
      <c r="C13" s="198">
        <f>C14+C17</f>
        <v>5353425.4899999993</v>
      </c>
      <c r="D13" s="198">
        <f>D14+D17</f>
        <v>3860350.19</v>
      </c>
      <c r="E13" s="198">
        <f>E14+E17</f>
        <v>1486374.2100000002</v>
      </c>
      <c r="F13" s="230">
        <f>F14+F17</f>
        <v>5346724.3999999994</v>
      </c>
      <c r="G13" s="198">
        <f t="shared" si="0"/>
        <v>-6701.089999999851</v>
      </c>
      <c r="H13" s="24">
        <f t="shared" si="1"/>
        <v>-0.12517387255164453</v>
      </c>
      <c r="I13" s="24">
        <f t="shared" si="2"/>
        <v>50.392530260931167</v>
      </c>
      <c r="J13" s="364" t="b">
        <f>C13=[6]FORM.1!D9</f>
        <v>1</v>
      </c>
      <c r="K13">
        <f>'Tabela Resumo'!AH5</f>
        <v>5346724.3999999994</v>
      </c>
      <c r="L13" s="4" t="b">
        <f t="shared" ref="L13:L21" si="3">K13=F13</f>
        <v>1</v>
      </c>
      <c r="M13" s="636"/>
      <c r="N13" s="300"/>
      <c r="O13" s="458"/>
      <c r="P13" s="458"/>
      <c r="Q13" s="458"/>
      <c r="R13" s="458"/>
      <c r="S13" s="458"/>
      <c r="T13" s="458"/>
      <c r="U13" s="458"/>
      <c r="V13" s="458"/>
      <c r="W13" s="458"/>
      <c r="X13" s="458"/>
      <c r="Y13" s="4"/>
      <c r="Z13" s="4"/>
      <c r="AA13" s="4"/>
      <c r="AB13" s="4"/>
      <c r="AC13" s="4"/>
    </row>
    <row r="14" spans="1:29" ht="29.25" customHeight="1" x14ac:dyDescent="0.25">
      <c r="A14" s="642" t="s">
        <v>11</v>
      </c>
      <c r="B14" s="642"/>
      <c r="C14" s="199">
        <f>SUM(C15:C16)</f>
        <v>4847553.7799999993</v>
      </c>
      <c r="D14" s="199">
        <f>SUM(D15:D16)</f>
        <v>3673120.75</v>
      </c>
      <c r="E14" s="199">
        <f>SUM(E15:E16)</f>
        <v>1180331.8900000001</v>
      </c>
      <c r="F14" s="234">
        <f>SUM(F15:F16)</f>
        <v>4853452.6399999997</v>
      </c>
      <c r="G14" s="198">
        <f>F14-C14</f>
        <v>5898.8600000003353</v>
      </c>
      <c r="H14" s="24">
        <f t="shared" si="1"/>
        <v>0.12168735547272952</v>
      </c>
      <c r="I14" s="24">
        <f t="shared" si="2"/>
        <v>45.74347595533375</v>
      </c>
      <c r="J14" s="364" t="b">
        <f>C14=[6]FORM.1!D10</f>
        <v>1</v>
      </c>
      <c r="K14" s="451">
        <f>'Tabela Resumo'!AH6</f>
        <v>4853452.6399999997</v>
      </c>
      <c r="L14" s="4" t="b">
        <f t="shared" si="3"/>
        <v>1</v>
      </c>
      <c r="M14" s="636"/>
      <c r="N14" s="300"/>
      <c r="O14" s="458"/>
      <c r="P14" s="458"/>
      <c r="Q14" s="458"/>
      <c r="R14" s="458"/>
      <c r="S14" s="458"/>
      <c r="T14" s="458"/>
      <c r="U14" s="458"/>
      <c r="V14" s="458"/>
      <c r="W14" s="458"/>
      <c r="X14" s="458"/>
      <c r="Y14" s="4"/>
      <c r="Z14" s="4"/>
      <c r="AA14" s="4"/>
      <c r="AB14" s="4"/>
      <c r="AC14" s="4"/>
    </row>
    <row r="15" spans="1:29" ht="29.25" customHeight="1" x14ac:dyDescent="0.25">
      <c r="A15" s="637" t="s">
        <v>251</v>
      </c>
      <c r="B15" s="637"/>
      <c r="C15" s="200">
        <v>3858512.8</v>
      </c>
      <c r="D15" s="200">
        <v>2972097.8</v>
      </c>
      <c r="E15" s="200">
        <v>892313.86</v>
      </c>
      <c r="F15" s="232">
        <f>SUM(D15:E15)</f>
        <v>3864411.6599999997</v>
      </c>
      <c r="G15" s="198">
        <f>F15-C15</f>
        <v>5898.8599999998696</v>
      </c>
      <c r="H15" s="24">
        <f t="shared" si="1"/>
        <v>0.15287910927754006</v>
      </c>
      <c r="I15" s="24">
        <f t="shared" si="2"/>
        <v>36.421828945820593</v>
      </c>
      <c r="J15" s="364" t="b">
        <f>C15=[6]FORM.1!D11</f>
        <v>1</v>
      </c>
      <c r="K15" s="31">
        <f>'Tabela Resumo'!AH7</f>
        <v>3864411.6599999997</v>
      </c>
      <c r="L15" s="4" t="b">
        <f t="shared" si="3"/>
        <v>1</v>
      </c>
      <c r="M15" s="30"/>
      <c r="N15" s="300"/>
      <c r="O15" s="458"/>
      <c r="P15" s="458"/>
      <c r="Q15" s="458"/>
      <c r="R15" s="458"/>
      <c r="S15" s="458"/>
      <c r="T15" s="458"/>
      <c r="U15" s="458"/>
      <c r="V15" s="458"/>
      <c r="W15" s="458"/>
      <c r="X15" s="458"/>
      <c r="Y15" s="4"/>
      <c r="Z15" s="4"/>
      <c r="AA15" s="4"/>
      <c r="AB15" s="4"/>
      <c r="AC15" s="4"/>
    </row>
    <row r="16" spans="1:29" ht="29.25" customHeight="1" x14ac:dyDescent="0.25">
      <c r="A16" s="637" t="s">
        <v>93</v>
      </c>
      <c r="B16" s="637"/>
      <c r="C16" s="200">
        <v>989040.98</v>
      </c>
      <c r="D16" s="200">
        <v>701022.95</v>
      </c>
      <c r="E16" s="200">
        <v>288018.03000000003</v>
      </c>
      <c r="F16" s="232">
        <f>SUM(D16:E16)</f>
        <v>989040.98</v>
      </c>
      <c r="G16" s="198">
        <f t="shared" ref="G16:G37" si="4">F16-C16</f>
        <v>0</v>
      </c>
      <c r="H16" s="24">
        <f t="shared" si="1"/>
        <v>0</v>
      </c>
      <c r="I16" s="24">
        <f t="shared" si="2"/>
        <v>9.3216470095131569</v>
      </c>
      <c r="J16" s="364" t="b">
        <f>C16=[6]FORM.1!D12</f>
        <v>1</v>
      </c>
      <c r="K16" s="31">
        <f>'Tabela Resumo'!AH8</f>
        <v>989040.98</v>
      </c>
      <c r="L16" s="4" t="b">
        <f t="shared" si="3"/>
        <v>1</v>
      </c>
      <c r="M16" s="30"/>
      <c r="N16" s="300"/>
      <c r="O16" s="458"/>
      <c r="P16" s="458"/>
      <c r="Q16" s="458"/>
      <c r="R16" s="458"/>
      <c r="S16" s="458"/>
      <c r="T16" s="458"/>
      <c r="U16" s="458"/>
      <c r="V16" s="458"/>
      <c r="W16" s="458"/>
      <c r="X16" s="458"/>
      <c r="Y16" s="4"/>
      <c r="Z16" s="4"/>
      <c r="AA16" s="4"/>
      <c r="AB16" s="4"/>
      <c r="AC16" s="4"/>
    </row>
    <row r="17" spans="1:24" ht="29.25" customHeight="1" x14ac:dyDescent="0.25">
      <c r="A17" s="642" t="s">
        <v>12</v>
      </c>
      <c r="B17" s="642"/>
      <c r="C17" s="201">
        <f>SUM(C18:C19)</f>
        <v>505871.71</v>
      </c>
      <c r="D17" s="201">
        <f>SUM(D18:D19)</f>
        <v>187229.44</v>
      </c>
      <c r="E17" s="201">
        <f>SUM(E18:E19)</f>
        <v>306042.32</v>
      </c>
      <c r="F17" s="235">
        <f>SUM(F18:F19)</f>
        <v>493271.76</v>
      </c>
      <c r="G17" s="198">
        <f t="shared" si="4"/>
        <v>-12599.950000000012</v>
      </c>
      <c r="H17" s="24">
        <f t="shared" si="1"/>
        <v>-2.4907401918166192</v>
      </c>
      <c r="I17" s="24">
        <f t="shared" si="2"/>
        <v>4.6490543055974198</v>
      </c>
      <c r="J17" s="364" t="b">
        <f>C17=[6]FORM.1!D13</f>
        <v>1</v>
      </c>
      <c r="K17" s="451">
        <f>'Tabela Resumo'!AH9</f>
        <v>493271.76</v>
      </c>
      <c r="L17" s="4" t="b">
        <f t="shared" si="3"/>
        <v>1</v>
      </c>
      <c r="N17" s="300"/>
      <c r="O17" s="458"/>
      <c r="P17" s="458"/>
      <c r="Q17" s="458"/>
      <c r="R17" s="458"/>
      <c r="S17" s="458"/>
      <c r="T17" s="458"/>
      <c r="U17" s="458"/>
      <c r="V17" s="458"/>
      <c r="W17" s="458"/>
      <c r="X17" s="458"/>
    </row>
    <row r="18" spans="1:24" ht="29.25" customHeight="1" x14ac:dyDescent="0.25">
      <c r="A18" s="637" t="s">
        <v>252</v>
      </c>
      <c r="B18" s="637"/>
      <c r="C18" s="202">
        <v>370189.65</v>
      </c>
      <c r="D18" s="202">
        <v>115355.22</v>
      </c>
      <c r="E18" s="202">
        <v>242234.48</v>
      </c>
      <c r="F18" s="232">
        <f>SUM(D18:E18)</f>
        <v>357589.7</v>
      </c>
      <c r="G18" s="198">
        <f t="shared" si="4"/>
        <v>-12599.950000000012</v>
      </c>
      <c r="H18" s="24">
        <f t="shared" si="1"/>
        <v>-3.4036472926782286</v>
      </c>
      <c r="I18" s="24">
        <f t="shared" si="2"/>
        <v>3.3702597011073365</v>
      </c>
      <c r="J18" s="364" t="b">
        <f>C18=[6]FORM.1!D14</f>
        <v>1</v>
      </c>
      <c r="K18" s="31">
        <f>'Tabela Resumo'!AH10</f>
        <v>357589.7</v>
      </c>
      <c r="L18" s="4" t="b">
        <f t="shared" si="3"/>
        <v>1</v>
      </c>
      <c r="N18" s="300"/>
      <c r="O18" s="458"/>
      <c r="P18" s="458"/>
      <c r="Q18" s="458"/>
      <c r="R18" s="458"/>
      <c r="S18" s="458"/>
      <c r="T18" s="458"/>
      <c r="U18" s="458"/>
      <c r="V18" s="458"/>
      <c r="W18" s="458"/>
      <c r="X18" s="458"/>
    </row>
    <row r="19" spans="1:24" ht="29.25" customHeight="1" x14ac:dyDescent="0.25">
      <c r="A19" s="637" t="s">
        <v>94</v>
      </c>
      <c r="B19" s="637"/>
      <c r="C19" s="202">
        <v>135682.06</v>
      </c>
      <c r="D19" s="202">
        <v>71874.22</v>
      </c>
      <c r="E19" s="202">
        <v>63807.839999999997</v>
      </c>
      <c r="F19" s="232">
        <f t="shared" ref="F19:F27" si="5">SUM(D19:E19)</f>
        <v>135682.06</v>
      </c>
      <c r="G19" s="198">
        <f t="shared" si="4"/>
        <v>0</v>
      </c>
      <c r="H19" s="24">
        <f t="shared" si="1"/>
        <v>0</v>
      </c>
      <c r="I19" s="24">
        <f t="shared" si="2"/>
        <v>1.2787946044900835</v>
      </c>
      <c r="J19" s="364" t="b">
        <f>C19=[6]FORM.1!D15</f>
        <v>1</v>
      </c>
      <c r="K19" s="31">
        <f>'Tabela Resumo'!AH11</f>
        <v>135682.06</v>
      </c>
      <c r="L19" s="4" t="b">
        <f t="shared" si="3"/>
        <v>1</v>
      </c>
      <c r="N19" s="300"/>
      <c r="O19" s="458"/>
      <c r="P19" s="458"/>
      <c r="Q19" s="458"/>
      <c r="R19" s="458"/>
      <c r="S19" s="458"/>
      <c r="T19" s="458"/>
      <c r="U19" s="458"/>
      <c r="V19" s="458"/>
      <c r="W19" s="458"/>
      <c r="X19" s="458"/>
    </row>
    <row r="20" spans="1:24" ht="29.25" customHeight="1" x14ac:dyDescent="0.25">
      <c r="A20" s="638" t="s">
        <v>80</v>
      </c>
      <c r="B20" s="638"/>
      <c r="C20" s="203">
        <v>4352960</v>
      </c>
      <c r="D20" s="203">
        <v>1711683.5</v>
      </c>
      <c r="E20" s="203">
        <v>2695517.98</v>
      </c>
      <c r="F20" s="232">
        <f t="shared" si="5"/>
        <v>4407201.4800000004</v>
      </c>
      <c r="G20" s="198">
        <f t="shared" si="4"/>
        <v>54241.480000000447</v>
      </c>
      <c r="H20" s="24">
        <f t="shared" si="1"/>
        <v>1.2460826655884834</v>
      </c>
      <c r="I20" s="24">
        <f t="shared" si="2"/>
        <v>41.537587751282018</v>
      </c>
      <c r="J20" s="364" t="b">
        <f>C20=[6]FORM.1!D16</f>
        <v>1</v>
      </c>
      <c r="K20">
        <f>'Tabela Resumo'!AH12</f>
        <v>4407201.4800000004</v>
      </c>
      <c r="L20" s="4" t="b">
        <f t="shared" si="3"/>
        <v>1</v>
      </c>
    </row>
    <row r="21" spans="1:24" ht="29.25" customHeight="1" x14ac:dyDescent="0.25">
      <c r="A21" s="638" t="s">
        <v>63</v>
      </c>
      <c r="B21" s="638"/>
      <c r="C21" s="203">
        <v>415168.91</v>
      </c>
      <c r="D21" s="203">
        <v>258832.48</v>
      </c>
      <c r="E21" s="203">
        <v>208235.03</v>
      </c>
      <c r="F21" s="232">
        <f t="shared" si="5"/>
        <v>467067.51</v>
      </c>
      <c r="G21" s="198">
        <f t="shared" si="4"/>
        <v>51898.600000000035</v>
      </c>
      <c r="H21" s="24">
        <f t="shared" si="1"/>
        <v>12.500598852645309</v>
      </c>
      <c r="I21" s="24">
        <f t="shared" si="2"/>
        <v>4.4020809510160603</v>
      </c>
      <c r="J21" s="364" t="b">
        <f>C21=[6]FORM.1!D17</f>
        <v>1</v>
      </c>
      <c r="K21" s="18">
        <f>'Tabela Resumo'!AH13</f>
        <v>467067.51</v>
      </c>
      <c r="L21" s="4" t="b">
        <f t="shared" si="3"/>
        <v>1</v>
      </c>
      <c r="M21" s="18"/>
      <c r="N21" s="6"/>
    </row>
    <row r="22" spans="1:24" ht="29.25" customHeight="1" x14ac:dyDescent="0.25">
      <c r="A22" s="658" t="s">
        <v>13</v>
      </c>
      <c r="B22" s="658"/>
      <c r="C22" s="267">
        <v>193500</v>
      </c>
      <c r="D22" s="267">
        <v>81775.240000000005</v>
      </c>
      <c r="E22" s="267">
        <v>180000</v>
      </c>
      <c r="F22" s="274">
        <f t="shared" si="5"/>
        <v>261775.24</v>
      </c>
      <c r="G22" s="198">
        <f t="shared" si="4"/>
        <v>68275.239999999991</v>
      </c>
      <c r="H22" s="24">
        <f t="shared" si="1"/>
        <v>35.284361757105934</v>
      </c>
      <c r="I22" s="24">
        <f t="shared" si="2"/>
        <v>2.4672146376690973</v>
      </c>
      <c r="J22" s="364" t="b">
        <f>C22=[6]FORM.1!D18</f>
        <v>1</v>
      </c>
      <c r="L22" s="266"/>
      <c r="M22" s="266"/>
      <c r="N22" s="266"/>
    </row>
    <row r="23" spans="1:24" ht="29.25" customHeight="1" x14ac:dyDescent="0.25">
      <c r="A23" s="658" t="s">
        <v>176</v>
      </c>
      <c r="B23" s="658"/>
      <c r="C23" s="268">
        <v>44084.6</v>
      </c>
      <c r="D23" s="268">
        <v>96024.65</v>
      </c>
      <c r="E23" s="268">
        <f>20382.94+10976.46</f>
        <v>31359.399999999998</v>
      </c>
      <c r="F23" s="274">
        <f t="shared" si="5"/>
        <v>127384.04999999999</v>
      </c>
      <c r="G23" s="198">
        <f t="shared" si="4"/>
        <v>83299.449999999983</v>
      </c>
      <c r="H23" s="24">
        <f t="shared" si="1"/>
        <v>188.95362552909629</v>
      </c>
      <c r="I23" s="24">
        <f t="shared" si="2"/>
        <v>1.2005863991016572</v>
      </c>
      <c r="J23" s="364" t="b">
        <f>C23=[6]FORM.1!D19</f>
        <v>1</v>
      </c>
      <c r="K23" s="324">
        <f>'Tabela Resumo'!AH15+'Tabela Resumo'!AK8</f>
        <v>54185.980779765261</v>
      </c>
      <c r="L23" s="61" t="s">
        <v>840</v>
      </c>
    </row>
    <row r="24" spans="1:24" ht="29.25" customHeight="1" x14ac:dyDescent="0.25">
      <c r="A24" s="638" t="s">
        <v>14</v>
      </c>
      <c r="B24" s="638"/>
      <c r="C24" s="204"/>
      <c r="D24" s="204"/>
      <c r="E24" s="204"/>
      <c r="F24" s="232">
        <f t="shared" si="5"/>
        <v>0</v>
      </c>
      <c r="G24" s="198">
        <f t="shared" si="4"/>
        <v>0</v>
      </c>
      <c r="H24" s="24">
        <f t="shared" si="1"/>
        <v>0</v>
      </c>
      <c r="I24" s="24">
        <f t="shared" si="2"/>
        <v>0</v>
      </c>
      <c r="J24" s="364" t="b">
        <f>C24=[6]FORM.1!D20</f>
        <v>1</v>
      </c>
    </row>
    <row r="25" spans="1:24" ht="29.25" customHeight="1" x14ac:dyDescent="0.25">
      <c r="A25" s="639" t="s">
        <v>15</v>
      </c>
      <c r="B25" s="639"/>
      <c r="C25" s="198">
        <f>SUM(C26:C27)</f>
        <v>0</v>
      </c>
      <c r="D25" s="198">
        <f>SUM(D26:D27)</f>
        <v>0</v>
      </c>
      <c r="E25" s="198">
        <f>SUM(E26:E27)</f>
        <v>0</v>
      </c>
      <c r="F25" s="230">
        <f>SUM(F26:F27)</f>
        <v>0</v>
      </c>
      <c r="G25" s="198">
        <f t="shared" si="4"/>
        <v>0</v>
      </c>
      <c r="H25" s="24">
        <f t="shared" si="1"/>
        <v>0</v>
      </c>
      <c r="I25" s="24">
        <f t="shared" si="2"/>
        <v>0</v>
      </c>
      <c r="J25" s="364" t="b">
        <f>C25=[6]FORM.1!D21</f>
        <v>1</v>
      </c>
      <c r="M25" s="266"/>
    </row>
    <row r="26" spans="1:24" ht="39.75" customHeight="1" x14ac:dyDescent="0.25">
      <c r="A26" s="638" t="s">
        <v>16</v>
      </c>
      <c r="B26" s="638"/>
      <c r="C26" s="204"/>
      <c r="D26" s="204"/>
      <c r="E26" s="204"/>
      <c r="F26" s="232">
        <f t="shared" si="5"/>
        <v>0</v>
      </c>
      <c r="G26" s="198">
        <f t="shared" si="4"/>
        <v>0</v>
      </c>
      <c r="H26" s="24">
        <f t="shared" si="1"/>
        <v>0</v>
      </c>
      <c r="I26" s="24">
        <f t="shared" si="2"/>
        <v>0</v>
      </c>
      <c r="J26" s="364" t="b">
        <f>C26=[6]FORM.1!D22</f>
        <v>1</v>
      </c>
      <c r="M26" s="266"/>
    </row>
    <row r="27" spans="1:24" ht="29.25" customHeight="1" x14ac:dyDescent="0.25">
      <c r="A27" s="638" t="s">
        <v>175</v>
      </c>
      <c r="B27" s="638"/>
      <c r="C27" s="204"/>
      <c r="D27" s="204"/>
      <c r="E27" s="204"/>
      <c r="F27" s="232">
        <f t="shared" si="5"/>
        <v>0</v>
      </c>
      <c r="G27" s="198">
        <f t="shared" si="4"/>
        <v>0</v>
      </c>
      <c r="H27" s="24">
        <f t="shared" si="1"/>
        <v>0</v>
      </c>
      <c r="I27" s="24">
        <f t="shared" si="2"/>
        <v>0</v>
      </c>
      <c r="J27" s="364" t="b">
        <f>C27=[6]FORM.1!D23</f>
        <v>1</v>
      </c>
    </row>
    <row r="28" spans="1:24" ht="24.95" customHeight="1" x14ac:dyDescent="0.25">
      <c r="A28" s="639" t="s">
        <v>17</v>
      </c>
      <c r="B28" s="639"/>
      <c r="C28" s="198">
        <f>SUM(C11,C25)</f>
        <v>10359138.999999998</v>
      </c>
      <c r="D28" s="198">
        <f>SUM(D11,D25)</f>
        <v>6008666.0600000005</v>
      </c>
      <c r="E28" s="198">
        <f>SUM(E11,E25)</f>
        <v>4601486.620000001</v>
      </c>
      <c r="F28" s="230">
        <f>SUM(F11,F25)</f>
        <v>10610152.68</v>
      </c>
      <c r="G28" s="198">
        <f t="shared" si="4"/>
        <v>251013.68000000156</v>
      </c>
      <c r="H28" s="24">
        <f t="shared" si="1"/>
        <v>2.4231133494781911</v>
      </c>
      <c r="I28" s="24">
        <f t="shared" si="2"/>
        <v>100</v>
      </c>
      <c r="J28" s="364" t="b">
        <f>C28=[6]FORM.1!D24</f>
        <v>1</v>
      </c>
    </row>
    <row r="29" spans="1:24" ht="24.95" customHeight="1" x14ac:dyDescent="0.25">
      <c r="A29" s="640" t="s">
        <v>253</v>
      </c>
      <c r="B29" s="640"/>
      <c r="C29" s="641"/>
      <c r="D29" s="641"/>
      <c r="E29" s="640"/>
      <c r="F29" s="640"/>
      <c r="G29" s="350">
        <f t="shared" si="4"/>
        <v>0</v>
      </c>
      <c r="H29" s="310"/>
      <c r="I29" s="275"/>
      <c r="J29" s="364" t="b">
        <f>C29=[6]FORM.1!D25</f>
        <v>1</v>
      </c>
    </row>
    <row r="30" spans="1:24" ht="24.95" customHeight="1" x14ac:dyDescent="0.25">
      <c r="A30" s="642" t="s">
        <v>18</v>
      </c>
      <c r="B30" s="642"/>
      <c r="C30" s="198">
        <f>SUM(C31:C33)</f>
        <v>9346947.7293453477</v>
      </c>
      <c r="D30" s="198">
        <f>SUM(D31:D33)</f>
        <v>2498793.46</v>
      </c>
      <c r="E30" s="198">
        <f>SUM(E31:E33)</f>
        <v>7119752.9800000004</v>
      </c>
      <c r="F30" s="230">
        <f>SUM(F31:F33)</f>
        <v>9538546.4399999995</v>
      </c>
      <c r="G30" s="198">
        <f>F30-C30</f>
        <v>191598.71065465175</v>
      </c>
      <c r="H30" s="24">
        <f>IFERROR(G30/C30*100,)</f>
        <v>2.0498532376843746</v>
      </c>
      <c r="I30" s="24">
        <f t="shared" ref="I30:I37" si="6">IFERROR(F30/$F$37*100,0)</f>
        <v>89.900180776663433</v>
      </c>
      <c r="J30" s="364" t="b">
        <f>C30=[6]FORM.1!D26</f>
        <v>1</v>
      </c>
    </row>
    <row r="31" spans="1:24" ht="24.95" customHeight="1" x14ac:dyDescent="0.25">
      <c r="A31" s="638" t="s">
        <v>19</v>
      </c>
      <c r="B31" s="638"/>
      <c r="C31" s="286">
        <f>SUMIF('Quadro Geral'!B9:B45,"p",'Quadro Geral'!J9:J45)</f>
        <v>702062.16999999993</v>
      </c>
      <c r="D31" s="286">
        <f>SUMIF('Quadro Geral'!B9:B47,"p",'Quadro Geral'!K9:K47)</f>
        <v>1705.22</v>
      </c>
      <c r="E31" s="286">
        <f>SUMIF('Quadro Geral'!B9:B47,"p",'Quadro Geral'!L9:L47)</f>
        <v>977845.23</v>
      </c>
      <c r="F31" s="231">
        <f>D31+E31</f>
        <v>979550.45</v>
      </c>
      <c r="G31" s="198">
        <f t="shared" si="4"/>
        <v>277488.28000000003</v>
      </c>
      <c r="H31" s="24">
        <f t="shared" si="1"/>
        <v>39.524744653311842</v>
      </c>
      <c r="I31" s="24">
        <f t="shared" si="6"/>
        <v>9.2321993805653708</v>
      </c>
      <c r="J31" s="364" t="b">
        <f>C31=[6]FORM.1!D27</f>
        <v>1</v>
      </c>
      <c r="K31" s="454">
        <v>979550.45</v>
      </c>
      <c r="L31" t="b">
        <f>K31=F31</f>
        <v>1</v>
      </c>
    </row>
    <row r="32" spans="1:24" s="61" customFormat="1" ht="24.95" customHeight="1" x14ac:dyDescent="0.25">
      <c r="A32" s="643" t="s">
        <v>195</v>
      </c>
      <c r="B32" s="644"/>
      <c r="C32" s="286">
        <f>SUMIF('Quadro Geral'!B9:B48,"pe",'Quadro Geral'!J9:J48)</f>
        <v>0</v>
      </c>
      <c r="D32" s="286">
        <f>SUMIF('Quadro Geral'!B9:B48,"pe",'Quadro Geral'!K9:K48)</f>
        <v>0</v>
      </c>
      <c r="E32" s="286">
        <f>SUMIF('Quadro Geral'!B9:B48,"pe",'Quadro Geral'!L9:L48)</f>
        <v>0</v>
      </c>
      <c r="F32" s="231">
        <f>D32+E32</f>
        <v>0</v>
      </c>
      <c r="G32" s="198">
        <f t="shared" si="4"/>
        <v>0</v>
      </c>
      <c r="H32" s="24">
        <f>IFERROR(G32/C32*100,)</f>
        <v>0</v>
      </c>
      <c r="I32" s="24">
        <f t="shared" si="6"/>
        <v>0</v>
      </c>
      <c r="J32" s="364" t="b">
        <f>C32=[6]FORM.1!D28</f>
        <v>1</v>
      </c>
    </row>
    <row r="33" spans="1:16" ht="24.95" customHeight="1" x14ac:dyDescent="0.25">
      <c r="A33" s="638" t="s">
        <v>69</v>
      </c>
      <c r="B33" s="638"/>
      <c r="C33" s="286">
        <f>SUMIF('Quadro Geral'!B9:B49,"a",'Quadro Geral'!J9:J49)-C34-C35-C36</f>
        <v>8644885.5593453478</v>
      </c>
      <c r="D33" s="286">
        <f>SUMIF('Quadro Geral'!B9:B47,"A",'Quadro Geral'!K9:K47)-D34-D35</f>
        <v>2497088.2399999998</v>
      </c>
      <c r="E33" s="286">
        <f>SUMIF('Quadro Geral'!B9:B49,"a",'Quadro Geral'!L9:L49)-E34-E35-E36</f>
        <v>6141907.75</v>
      </c>
      <c r="F33" s="231">
        <f>(D33+E33)-F36</f>
        <v>8558995.9900000002</v>
      </c>
      <c r="G33" s="198">
        <f>F33-C33</f>
        <v>-85889.569345347583</v>
      </c>
      <c r="H33" s="24">
        <f t="shared" si="1"/>
        <v>-0.9935304378031784</v>
      </c>
      <c r="I33" s="24">
        <f>IFERROR(F33/$F$37*100,0)</f>
        <v>80.667981396098071</v>
      </c>
      <c r="J33" s="364" t="b">
        <f>C33=[6]FORM.1!D29</f>
        <v>1</v>
      </c>
      <c r="K33" s="452">
        <f>'Quadro Geral'!M9+'Quadro Geral'!M10+'Quadro Geral'!M11+'Quadro Geral'!M13+'Quadro Geral'!M14+'Quadro Geral'!M15+'Quadro Geral'!M16+'Quadro Geral'!M17+'Quadro Geral'!M18+'Quadro Geral'!M19+'Quadro Geral'!M20+'Quadro Geral'!M21+'Quadro Geral'!M22+'Quadro Geral'!M23+'Quadro Geral'!M24+'Quadro Geral'!M25+'Quadro Geral'!M26+'Quadro Geral'!M27+'Quadro Geral'!M28+'Quadro Geral'!M29+'Quadro Geral'!M30+'Quadro Geral'!M32+'Quadro Geral'!M34+'Quadro Geral'!M35+'Quadro Geral'!M36+'Quadro Geral'!M37+'Quadro Geral'!M38+'Quadro Geral'!M39+'Quadro Geral'!M42+'Quadro Geral'!M45</f>
        <v>9630602.2300000004</v>
      </c>
      <c r="L33" s="453">
        <f>K33-K34-K35-K36</f>
        <v>8558995.9911507312</v>
      </c>
      <c r="M33" s="453"/>
      <c r="N33" s="95"/>
      <c r="O33" s="95"/>
      <c r="P33" s="95"/>
    </row>
    <row r="34" spans="1:16" ht="24.95" customHeight="1" x14ac:dyDescent="0.25">
      <c r="A34" s="638" t="s">
        <v>20</v>
      </c>
      <c r="B34" s="638"/>
      <c r="C34" s="203">
        <f>'Quadro Geral'!J26</f>
        <v>257042.4</v>
      </c>
      <c r="D34" s="203">
        <f>'Quadro Geral'!K26</f>
        <v>107101</v>
      </c>
      <c r="E34" s="267">
        <f>'Quadro Geral'!L26</f>
        <v>109957.38</v>
      </c>
      <c r="F34" s="232">
        <f t="shared" ref="F34:F35" si="7">SUM(D34:E34)</f>
        <v>217058.38</v>
      </c>
      <c r="G34" s="198">
        <f t="shared" si="4"/>
        <v>-39984.01999999999</v>
      </c>
      <c r="H34" s="24">
        <f>IFERROR(G34/C34*100,)</f>
        <v>-15.555418094446672</v>
      </c>
      <c r="I34" s="24">
        <f t="shared" si="6"/>
        <v>2.0457611360216545</v>
      </c>
      <c r="J34" s="364" t="b">
        <f>C34=[6]FORM.1!D30</f>
        <v>1</v>
      </c>
      <c r="K34" s="236">
        <f>'Tabela Resumo'!AK6</f>
        <v>217058.37884926912</v>
      </c>
      <c r="L34" t="b">
        <v>1</v>
      </c>
    </row>
    <row r="35" spans="1:16" ht="24.95" customHeight="1" x14ac:dyDescent="0.25">
      <c r="A35" s="638" t="s">
        <v>68</v>
      </c>
      <c r="B35" s="638"/>
      <c r="C35" s="203">
        <f>'Quadro Geral'!J27+'Quadro Geral'!J28</f>
        <v>675148.8706546498</v>
      </c>
      <c r="D35" s="203">
        <f>'Quadro Geral'!K27+'Quadro Geral'!K28</f>
        <v>281312.05</v>
      </c>
      <c r="E35" s="267">
        <f>'Quadro Geral'!L27+'Quadro Geral'!L28</f>
        <v>493235.81000000006</v>
      </c>
      <c r="F35" s="232">
        <f t="shared" si="7"/>
        <v>774547.8600000001</v>
      </c>
      <c r="G35" s="198">
        <f t="shared" si="4"/>
        <v>99398.989345350303</v>
      </c>
      <c r="H35" s="24">
        <f t="shared" si="1"/>
        <v>14.722529158490527</v>
      </c>
      <c r="I35" s="24">
        <f t="shared" si="6"/>
        <v>7.3000632824069793</v>
      </c>
      <c r="J35" s="364" t="b">
        <f>C35=[6]FORM.1!D31</f>
        <v>1</v>
      </c>
      <c r="K35" s="236">
        <f>'Tabela Resumo'!AK3+'Tabela Resumo'!AK4</f>
        <v>774547.8600000001</v>
      </c>
      <c r="L35" t="b">
        <f>K35=F35</f>
        <v>1</v>
      </c>
    </row>
    <row r="36" spans="1:16" ht="24.95" customHeight="1" x14ac:dyDescent="0.25">
      <c r="A36" s="638" t="s">
        <v>25</v>
      </c>
      <c r="B36" s="638"/>
      <c r="C36" s="203">
        <f>'Quadro Geral'!J29</f>
        <v>80000</v>
      </c>
      <c r="D36" s="203">
        <f>'Quadro Geral'!K29</f>
        <v>0</v>
      </c>
      <c r="E36" s="26"/>
      <c r="F36" s="232">
        <f>C36</f>
        <v>80000</v>
      </c>
      <c r="G36" s="198">
        <f t="shared" si="4"/>
        <v>0</v>
      </c>
      <c r="H36" s="24">
        <f t="shared" si="1"/>
        <v>0</v>
      </c>
      <c r="I36" s="24">
        <f t="shared" si="6"/>
        <v>0.75399480490793469</v>
      </c>
      <c r="J36" s="364" t="b">
        <f>C36=[6]FORM.1!D32</f>
        <v>1</v>
      </c>
      <c r="K36">
        <f>'Quadro Geral'!M29</f>
        <v>80000</v>
      </c>
      <c r="L36" t="b">
        <f>K36=F36</f>
        <v>1</v>
      </c>
    </row>
    <row r="37" spans="1:16" ht="24.75" customHeight="1" x14ac:dyDescent="0.25">
      <c r="A37" s="639" t="s">
        <v>21</v>
      </c>
      <c r="B37" s="639"/>
      <c r="C37" s="198">
        <f>SUM(C30,C34:C36)</f>
        <v>10359138.999999998</v>
      </c>
      <c r="D37" s="198">
        <f>SUM(D30,D34:D36)</f>
        <v>2887206.51</v>
      </c>
      <c r="E37" s="198">
        <f>SUM(E30,E34:E36)</f>
        <v>7722946.1699999999</v>
      </c>
      <c r="F37" s="230">
        <f>SUM(F30,F34:F36)</f>
        <v>10610152.68</v>
      </c>
      <c r="G37" s="198">
        <f t="shared" si="4"/>
        <v>251013.68000000156</v>
      </c>
      <c r="H37" s="24">
        <f t="shared" si="1"/>
        <v>2.4231133494781911</v>
      </c>
      <c r="I37" s="24">
        <f t="shared" si="6"/>
        <v>100</v>
      </c>
      <c r="J37" s="364" t="b">
        <f>C37=[6]FORM.1!D33</f>
        <v>1</v>
      </c>
    </row>
    <row r="38" spans="1:16" ht="24.95" customHeight="1" x14ac:dyDescent="0.25">
      <c r="A38" s="638" t="s">
        <v>22</v>
      </c>
      <c r="B38" s="638"/>
      <c r="C38" s="27">
        <f>C28-C37</f>
        <v>0</v>
      </c>
      <c r="D38" s="287">
        <f>D28-D37</f>
        <v>3121459.5500000007</v>
      </c>
      <c r="E38" s="287">
        <f>E28-E37</f>
        <v>-3121459.5499999989</v>
      </c>
      <c r="F38" s="233">
        <f>F28-F37</f>
        <v>0</v>
      </c>
      <c r="G38" s="27">
        <f t="shared" si="0"/>
        <v>0</v>
      </c>
      <c r="H38" s="28"/>
      <c r="I38" s="28"/>
      <c r="J38" s="364" t="b">
        <f>C38=[6]FORM.1!D34</f>
        <v>1</v>
      </c>
    </row>
    <row r="39" spans="1:16" ht="33" customHeight="1" x14ac:dyDescent="0.25">
      <c r="A39" s="632" t="s">
        <v>96</v>
      </c>
      <c r="B39" s="633"/>
      <c r="C39" s="633"/>
      <c r="D39" s="633"/>
      <c r="E39" s="633"/>
      <c r="F39" s="633"/>
      <c r="G39" s="633"/>
      <c r="H39" s="633"/>
      <c r="I39" s="634"/>
      <c r="J39" s="370"/>
    </row>
    <row r="40" spans="1:16" ht="42" customHeight="1" x14ac:dyDescent="0.25">
      <c r="A40" s="73"/>
      <c r="B40" s="73"/>
      <c r="C40" s="83" t="b">
        <f>C37='Quadro Geral'!J48</f>
        <v>1</v>
      </c>
      <c r="D40" s="288" t="b">
        <f>D37='Quadro Geral'!K48</f>
        <v>1</v>
      </c>
      <c r="E40" s="288" t="b">
        <f>E37='Quadro Geral'!L48</f>
        <v>1</v>
      </c>
      <c r="F40" s="228" t="b">
        <f>F37='Quadro Geral'!M48</f>
        <v>1</v>
      </c>
      <c r="G40" s="73"/>
      <c r="H40" s="66"/>
      <c r="I40" s="66"/>
      <c r="J40" s="370"/>
    </row>
    <row r="41" spans="1:16" ht="31.5" customHeight="1" x14ac:dyDescent="0.25">
      <c r="A41" s="630" t="s">
        <v>254</v>
      </c>
      <c r="B41" s="631"/>
      <c r="C41" s="631"/>
      <c r="D41" s="631"/>
      <c r="E41" s="631"/>
      <c r="F41" s="631"/>
      <c r="G41" s="631"/>
      <c r="H41" s="4"/>
      <c r="I41" s="4"/>
      <c r="J41" s="371"/>
    </row>
    <row r="42" spans="1:16" ht="24.75" customHeight="1" x14ac:dyDescent="0.25">
      <c r="A42" s="650" t="s">
        <v>84</v>
      </c>
      <c r="B42" s="654" t="s">
        <v>87</v>
      </c>
      <c r="C42" s="655"/>
      <c r="D42" s="656"/>
      <c r="E42" s="654" t="s">
        <v>88</v>
      </c>
      <c r="F42" s="655"/>
      <c r="G42" s="656"/>
    </row>
    <row r="43" spans="1:16" ht="72.75" customHeight="1" x14ac:dyDescent="0.25">
      <c r="A43" s="651"/>
      <c r="B43" s="86" t="s">
        <v>255</v>
      </c>
      <c r="C43" s="86" t="s">
        <v>256</v>
      </c>
      <c r="D43" s="289" t="s">
        <v>89</v>
      </c>
      <c r="E43" s="289" t="s">
        <v>257</v>
      </c>
      <c r="F43" s="229" t="s">
        <v>258</v>
      </c>
      <c r="G43" s="86" t="s">
        <v>207</v>
      </c>
    </row>
    <row r="44" spans="1:16" ht="33.75" customHeight="1" x14ac:dyDescent="0.25">
      <c r="A44" s="25" t="s">
        <v>85</v>
      </c>
      <c r="B44" s="323">
        <f>C11</f>
        <v>10359138.999999998</v>
      </c>
      <c r="C44" s="323">
        <f>F11</f>
        <v>10610152.68</v>
      </c>
      <c r="D44" s="290">
        <f>(IFERROR(C44/B44*100-100,0))</f>
        <v>2.4231133494782</v>
      </c>
      <c r="E44" s="323">
        <v>10324125</v>
      </c>
      <c r="F44" s="321">
        <f>'Anexo 3. Elemento de Despesas'!O46</f>
        <v>10481846.779999999</v>
      </c>
      <c r="G44" s="34">
        <f>(IFERROR(F44/E44*100-100,0))</f>
        <v>1.5277011853304714</v>
      </c>
      <c r="H44" s="6"/>
    </row>
    <row r="45" spans="1:16" ht="33.75" customHeight="1" x14ac:dyDescent="0.25">
      <c r="A45" s="25" t="s">
        <v>86</v>
      </c>
      <c r="B45" s="40">
        <f>C25</f>
        <v>0</v>
      </c>
      <c r="C45" s="40">
        <f>F25</f>
        <v>0</v>
      </c>
      <c r="D45" s="290">
        <f>(IFERROR(C45/B45*100-100,0))</f>
        <v>0</v>
      </c>
      <c r="E45" s="40">
        <v>35014</v>
      </c>
      <c r="F45" s="321">
        <f>'Anexo 3. Elemento de Despesas'!P46</f>
        <v>128305.9</v>
      </c>
      <c r="G45" s="34">
        <f>(IFERROR(F45/E45*100-100,0))</f>
        <v>266.44170903067345</v>
      </c>
      <c r="H45" s="6"/>
    </row>
    <row r="46" spans="1:16" ht="27.75" customHeight="1" x14ac:dyDescent="0.25">
      <c r="A46" s="84" t="s">
        <v>0</v>
      </c>
      <c r="B46" s="85">
        <f>SUM(B44:B45)</f>
        <v>10359138.999999998</v>
      </c>
      <c r="C46" s="85">
        <f t="shared" ref="C46" si="8">SUM(C44:C45)</f>
        <v>10610152.68</v>
      </c>
      <c r="D46" s="291">
        <f>IFERROR(C46/B46*100-100,)</f>
        <v>2.4231133494782</v>
      </c>
      <c r="E46" s="291">
        <f>SUM(E44:E45)</f>
        <v>10359139</v>
      </c>
      <c r="F46" s="322">
        <f t="shared" ref="F46" si="9">SUM(F44:F45)</f>
        <v>10610152.68</v>
      </c>
      <c r="G46" s="85">
        <f>IFERROR(F46/E46*100-100,)</f>
        <v>2.4231133494781716</v>
      </c>
      <c r="H46" s="61"/>
    </row>
    <row r="47" spans="1:16" x14ac:dyDescent="0.25">
      <c r="A47" s="652"/>
      <c r="B47" s="653"/>
      <c r="C47" s="653"/>
      <c r="D47" s="653"/>
      <c r="E47" s="653"/>
      <c r="F47" s="653"/>
      <c r="G47" s="653"/>
      <c r="H47" s="653"/>
      <c r="I47" s="653"/>
      <c r="J47" s="356"/>
    </row>
    <row r="48" spans="1:16" ht="33.75" customHeight="1" x14ac:dyDescent="0.25">
      <c r="A48" s="86" t="s">
        <v>7</v>
      </c>
      <c r="B48" s="86" t="s">
        <v>119</v>
      </c>
      <c r="C48" s="86" t="s">
        <v>120</v>
      </c>
      <c r="D48" s="289" t="s">
        <v>0</v>
      </c>
    </row>
    <row r="49" spans="1:10" ht="32.25" customHeight="1" x14ac:dyDescent="0.25">
      <c r="A49" s="87" t="s">
        <v>121</v>
      </c>
      <c r="B49" s="157">
        <f>F11</f>
        <v>10610152.68</v>
      </c>
      <c r="C49" s="157">
        <f>F25</f>
        <v>0</v>
      </c>
      <c r="D49" s="292">
        <f>SUM(B49:C49)</f>
        <v>10610152.68</v>
      </c>
    </row>
    <row r="50" spans="1:10" ht="32.25" customHeight="1" x14ac:dyDescent="0.25">
      <c r="A50" s="87" t="s">
        <v>122</v>
      </c>
      <c r="B50" s="157">
        <f>'Anexo 3. Elemento de Despesas'!O46</f>
        <v>10481846.779999999</v>
      </c>
      <c r="C50" s="157">
        <f>'Anexo 3. Elemento de Despesas'!P46</f>
        <v>128305.9</v>
      </c>
      <c r="D50" s="292">
        <f>SUM(B50:C50)</f>
        <v>10610152.68</v>
      </c>
    </row>
    <row r="51" spans="1:10" ht="18.75" x14ac:dyDescent="0.25">
      <c r="A51" s="88" t="s">
        <v>22</v>
      </c>
      <c r="B51" s="157">
        <f>B49-B50</f>
        <v>128305.90000000037</v>
      </c>
      <c r="C51" s="157">
        <f>C49-C50</f>
        <v>-128305.9</v>
      </c>
      <c r="D51" s="293">
        <f>D49-D50</f>
        <v>0</v>
      </c>
    </row>
    <row r="53" spans="1:10" ht="30" customHeight="1" x14ac:dyDescent="0.25">
      <c r="A53" s="86" t="s">
        <v>260</v>
      </c>
      <c r="B53" s="86" t="s">
        <v>57</v>
      </c>
      <c r="C53" s="89"/>
      <c r="D53" s="455"/>
      <c r="E53" s="635"/>
      <c r="F53" s="635"/>
      <c r="G53" s="635"/>
    </row>
    <row r="54" spans="1:10" s="61" customFormat="1" ht="30" customHeight="1" x14ac:dyDescent="0.25">
      <c r="A54" s="86" t="s">
        <v>261</v>
      </c>
      <c r="B54" s="491">
        <v>9291279.5399999991</v>
      </c>
      <c r="C54" s="89"/>
      <c r="D54" s="455"/>
      <c r="E54" s="635"/>
      <c r="F54" s="635"/>
      <c r="G54" s="635"/>
      <c r="J54" s="6"/>
    </row>
    <row r="55" spans="1:10" s="61" customFormat="1" ht="30" customHeight="1" x14ac:dyDescent="0.25">
      <c r="A55" s="86" t="s">
        <v>196</v>
      </c>
      <c r="B55" s="492"/>
      <c r="C55" s="89"/>
      <c r="D55" s="455"/>
      <c r="E55" s="455"/>
      <c r="F55" s="225"/>
      <c r="J55" s="6"/>
    </row>
    <row r="56" spans="1:10" s="61" customFormat="1" ht="30" customHeight="1" x14ac:dyDescent="0.25">
      <c r="A56" s="86" t="s">
        <v>197</v>
      </c>
      <c r="B56" s="492">
        <v>0</v>
      </c>
      <c r="C56" s="89"/>
      <c r="D56" s="455"/>
      <c r="E56" s="455"/>
      <c r="F56" s="225"/>
      <c r="J56" s="6"/>
    </row>
    <row r="57" spans="1:10" s="61" customFormat="1" ht="23.25" x14ac:dyDescent="0.25">
      <c r="A57" s="86" t="s">
        <v>198</v>
      </c>
      <c r="B57" s="491">
        <f>B54-B55-B56</f>
        <v>9291279.5399999991</v>
      </c>
      <c r="C57" s="89"/>
      <c r="D57" s="455"/>
      <c r="E57" s="455"/>
      <c r="F57" s="225"/>
      <c r="J57" s="6"/>
    </row>
    <row r="58" spans="1:10" s="61" customFormat="1" ht="23.25" x14ac:dyDescent="0.25">
      <c r="A58" s="86" t="s">
        <v>263</v>
      </c>
      <c r="B58" s="457">
        <f>B56/B54</f>
        <v>0</v>
      </c>
      <c r="C58" s="89"/>
      <c r="D58" s="455"/>
      <c r="E58" s="455"/>
      <c r="F58" s="225"/>
      <c r="J58" s="6"/>
    </row>
    <row r="59" spans="1:10" s="61" customFormat="1" ht="23.25" x14ac:dyDescent="0.25">
      <c r="A59" s="86" t="s">
        <v>264</v>
      </c>
      <c r="B59" s="456"/>
      <c r="C59" s="89"/>
      <c r="D59" s="455"/>
      <c r="E59" s="455"/>
      <c r="F59" s="225"/>
      <c r="J59" s="6"/>
    </row>
    <row r="60" spans="1:10" ht="47.25" customHeight="1" x14ac:dyDescent="0.25">
      <c r="A60" s="648" t="s">
        <v>262</v>
      </c>
      <c r="B60" s="649"/>
      <c r="C60" s="649"/>
      <c r="D60" s="649"/>
      <c r="E60" s="649"/>
      <c r="F60" s="649"/>
      <c r="G60" s="649"/>
    </row>
    <row r="61" spans="1:10" ht="26.25" x14ac:dyDescent="0.25">
      <c r="A61" s="622" t="s">
        <v>259</v>
      </c>
      <c r="B61" s="623"/>
      <c r="C61" s="623"/>
      <c r="D61" s="623"/>
      <c r="E61" s="623"/>
      <c r="F61" s="623"/>
      <c r="G61" s="624"/>
    </row>
    <row r="62" spans="1:10" ht="99" customHeight="1" x14ac:dyDescent="0.25">
      <c r="A62" s="645" t="s">
        <v>768</v>
      </c>
      <c r="B62" s="646"/>
      <c r="C62" s="646"/>
      <c r="D62" s="646"/>
      <c r="E62" s="646"/>
      <c r="F62" s="646"/>
      <c r="G62" s="647"/>
    </row>
  </sheetData>
  <mergeCells count="52">
    <mergeCell ref="A13:B13"/>
    <mergeCell ref="A14:B14"/>
    <mergeCell ref="A15:B15"/>
    <mergeCell ref="A16:B16"/>
    <mergeCell ref="A17:B17"/>
    <mergeCell ref="H10:I10"/>
    <mergeCell ref="A5:I5"/>
    <mergeCell ref="A6:I6"/>
    <mergeCell ref="A8:B9"/>
    <mergeCell ref="A10:B10"/>
    <mergeCell ref="G8:H8"/>
    <mergeCell ref="A7:F7"/>
    <mergeCell ref="C8:C9"/>
    <mergeCell ref="A4:I4"/>
    <mergeCell ref="A36:B36"/>
    <mergeCell ref="A37:B37"/>
    <mergeCell ref="A38:B38"/>
    <mergeCell ref="A11:B11"/>
    <mergeCell ref="A12:B12"/>
    <mergeCell ref="A21:B21"/>
    <mergeCell ref="A22:B22"/>
    <mergeCell ref="A23:B23"/>
    <mergeCell ref="A24:B24"/>
    <mergeCell ref="A25:B25"/>
    <mergeCell ref="D8:F8"/>
    <mergeCell ref="I8:I9"/>
    <mergeCell ref="A31:B31"/>
    <mergeCell ref="A33:B33"/>
    <mergeCell ref="A34:B34"/>
    <mergeCell ref="A62:G62"/>
    <mergeCell ref="A60:G60"/>
    <mergeCell ref="A42:A43"/>
    <mergeCell ref="A61:G61"/>
    <mergeCell ref="A47:I47"/>
    <mergeCell ref="B42:D42"/>
    <mergeCell ref="E42:G42"/>
    <mergeCell ref="A41:G41"/>
    <mergeCell ref="A39:I39"/>
    <mergeCell ref="E53:G54"/>
    <mergeCell ref="M13:M14"/>
    <mergeCell ref="A18:B18"/>
    <mergeCell ref="A19:B19"/>
    <mergeCell ref="A20:B20"/>
    <mergeCell ref="A35:B35"/>
    <mergeCell ref="A26:B26"/>
    <mergeCell ref="A28:B28"/>
    <mergeCell ref="A29:B29"/>
    <mergeCell ref="C29:D29"/>
    <mergeCell ref="A30:B30"/>
    <mergeCell ref="A32:B32"/>
    <mergeCell ref="E29:F29"/>
    <mergeCell ref="A27:B27"/>
  </mergeCells>
  <phoneticPr fontId="67" type="noConversion"/>
  <conditionalFormatting sqref="C40:F40">
    <cfRule type="cellIs" dxfId="11" priority="3" operator="equal">
      <formula>TRUE</formula>
    </cfRule>
    <cfRule type="cellIs" dxfId="10" priority="4" operator="equal">
      <formula>TRUE</formula>
    </cfRule>
  </conditionalFormatting>
  <conditionalFormatting sqref="J1:J1048576">
    <cfRule type="cellIs" dxfId="9" priority="2" operator="greaterThan">
      <formula>"ve"</formula>
    </cfRule>
  </conditionalFormatting>
  <conditionalFormatting sqref="H44:H45">
    <cfRule type="cellIs" dxfId="8" priority="1" operator="greaterThan">
      <formula>"c"</formula>
    </cfRule>
  </conditionalFormatting>
  <pageMargins left="0.23622047244094491" right="0.23622047244094491" top="0.74803149606299213" bottom="0.74803149606299213" header="0.31496062992125984" footer="0.31496062992125984"/>
  <pageSetup paperSize="9" scale="50" fitToWidth="0" orientation="landscape" horizontalDpi="300" verticalDpi="300" r:id="rId1"/>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Plan6">
    <tabColor rgb="FF777777"/>
    <pageSetUpPr fitToPage="1"/>
  </sheetPr>
  <dimension ref="A1:AF41"/>
  <sheetViews>
    <sheetView showGridLines="0" topLeftCell="M1" zoomScale="70" zoomScaleNormal="70" workbookViewId="0">
      <selection activeCell="T4" sqref="T4:T7"/>
    </sheetView>
  </sheetViews>
  <sheetFormatPr defaultRowHeight="15" x14ac:dyDescent="0.25"/>
  <cols>
    <col min="1" max="1" width="9.140625" style="6"/>
    <col min="2" max="2" width="35.5703125" style="6" customWidth="1"/>
    <col min="3" max="3" width="35.7109375" style="6" customWidth="1"/>
    <col min="4" max="4" width="33.42578125" style="6" customWidth="1"/>
    <col min="5" max="5" width="42.28515625" style="6" customWidth="1"/>
    <col min="6" max="6" width="11.5703125" style="6" bestFit="1" customWidth="1"/>
    <col min="7" max="7" width="17.7109375" style="6" hidden="1" customWidth="1"/>
    <col min="8" max="8" width="15.42578125" style="6" hidden="1" customWidth="1"/>
    <col min="9" max="9" width="17.7109375" style="6" hidden="1" customWidth="1"/>
    <col min="10" max="10" width="17.7109375" style="6" customWidth="1"/>
    <col min="11" max="11" width="34.7109375" style="6" customWidth="1"/>
    <col min="12" max="12" width="70.140625" style="6" customWidth="1"/>
    <col min="13" max="13" width="34.140625" style="6" customWidth="1"/>
    <col min="14" max="15" width="20.7109375" style="6" customWidth="1"/>
    <col min="16" max="16" width="11.5703125" style="6" bestFit="1" customWidth="1"/>
    <col min="17" max="17" width="22.28515625" style="6" hidden="1" customWidth="1"/>
    <col min="18" max="19" width="16.7109375" style="6" hidden="1" customWidth="1"/>
    <col min="20" max="20" width="9.140625" style="6"/>
    <col min="21" max="21" width="14.85546875" style="6" customWidth="1"/>
    <col min="22" max="260" width="9.140625" style="6"/>
    <col min="261" max="261" width="35.5703125" style="6" customWidth="1"/>
    <col min="262" max="262" width="23" style="6" customWidth="1"/>
    <col min="263" max="263" width="17.7109375" style="6" customWidth="1"/>
    <col min="264" max="264" width="18.42578125" style="6" customWidth="1"/>
    <col min="265" max="266" width="13.140625" style="6" customWidth="1"/>
    <col min="267" max="267" width="10.7109375" style="6" customWidth="1"/>
    <col min="268" max="268" width="40.85546875" style="6" customWidth="1"/>
    <col min="269" max="269" width="34.140625" style="6" customWidth="1"/>
    <col min="270" max="270" width="16" style="6" customWidth="1"/>
    <col min="271" max="271" width="15.7109375" style="6" customWidth="1"/>
    <col min="272" max="272" width="17.42578125" style="6" customWidth="1"/>
    <col min="273" max="273" width="10.7109375" style="6" customWidth="1"/>
    <col min="274" max="274" width="13" style="6" customWidth="1"/>
    <col min="275" max="275" width="16.7109375" style="6" customWidth="1"/>
    <col min="276" max="516" width="9.140625" style="6"/>
    <col min="517" max="517" width="35.5703125" style="6" customWidth="1"/>
    <col min="518" max="518" width="23" style="6" customWidth="1"/>
    <col min="519" max="519" width="17.7109375" style="6" customWidth="1"/>
    <col min="520" max="520" width="18.42578125" style="6" customWidth="1"/>
    <col min="521" max="522" width="13.140625" style="6" customWidth="1"/>
    <col min="523" max="523" width="10.7109375" style="6" customWidth="1"/>
    <col min="524" max="524" width="40.85546875" style="6" customWidth="1"/>
    <col min="525" max="525" width="34.140625" style="6" customWidth="1"/>
    <col min="526" max="526" width="16" style="6" customWidth="1"/>
    <col min="527" max="527" width="15.7109375" style="6" customWidth="1"/>
    <col min="528" max="528" width="17.42578125" style="6" customWidth="1"/>
    <col min="529" max="529" width="10.7109375" style="6" customWidth="1"/>
    <col min="530" max="530" width="13" style="6" customWidth="1"/>
    <col min="531" max="531" width="16.7109375" style="6" customWidth="1"/>
    <col min="532" max="772" width="9.140625" style="6"/>
    <col min="773" max="773" width="35.5703125" style="6" customWidth="1"/>
    <col min="774" max="774" width="23" style="6" customWidth="1"/>
    <col min="775" max="775" width="17.7109375" style="6" customWidth="1"/>
    <col min="776" max="776" width="18.42578125" style="6" customWidth="1"/>
    <col min="777" max="778" width="13.140625" style="6" customWidth="1"/>
    <col min="779" max="779" width="10.7109375" style="6" customWidth="1"/>
    <col min="780" max="780" width="40.85546875" style="6" customWidth="1"/>
    <col min="781" max="781" width="34.140625" style="6" customWidth="1"/>
    <col min="782" max="782" width="16" style="6" customWidth="1"/>
    <col min="783" max="783" width="15.7109375" style="6" customWidth="1"/>
    <col min="784" max="784" width="17.42578125" style="6" customWidth="1"/>
    <col min="785" max="785" width="10.7109375" style="6" customWidth="1"/>
    <col min="786" max="786" width="13" style="6" customWidth="1"/>
    <col min="787" max="787" width="16.7109375" style="6" customWidth="1"/>
    <col min="788" max="1028" width="9.140625" style="6"/>
    <col min="1029" max="1029" width="35.5703125" style="6" customWidth="1"/>
    <col min="1030" max="1030" width="23" style="6" customWidth="1"/>
    <col min="1031" max="1031" width="17.7109375" style="6" customWidth="1"/>
    <col min="1032" max="1032" width="18.42578125" style="6" customWidth="1"/>
    <col min="1033" max="1034" width="13.140625" style="6" customWidth="1"/>
    <col min="1035" max="1035" width="10.7109375" style="6" customWidth="1"/>
    <col min="1036" max="1036" width="40.85546875" style="6" customWidth="1"/>
    <col min="1037" max="1037" width="34.140625" style="6" customWidth="1"/>
    <col min="1038" max="1038" width="16" style="6" customWidth="1"/>
    <col min="1039" max="1039" width="15.7109375" style="6" customWidth="1"/>
    <col min="1040" max="1040" width="17.42578125" style="6" customWidth="1"/>
    <col min="1041" max="1041" width="10.7109375" style="6" customWidth="1"/>
    <col min="1042" max="1042" width="13" style="6" customWidth="1"/>
    <col min="1043" max="1043" width="16.7109375" style="6" customWidth="1"/>
    <col min="1044" max="1284" width="9.140625" style="6"/>
    <col min="1285" max="1285" width="35.5703125" style="6" customWidth="1"/>
    <col min="1286" max="1286" width="23" style="6" customWidth="1"/>
    <col min="1287" max="1287" width="17.7109375" style="6" customWidth="1"/>
    <col min="1288" max="1288" width="18.42578125" style="6" customWidth="1"/>
    <col min="1289" max="1290" width="13.140625" style="6" customWidth="1"/>
    <col min="1291" max="1291" width="10.7109375" style="6" customWidth="1"/>
    <col min="1292" max="1292" width="40.85546875" style="6" customWidth="1"/>
    <col min="1293" max="1293" width="34.140625" style="6" customWidth="1"/>
    <col min="1294" max="1294" width="16" style="6" customWidth="1"/>
    <col min="1295" max="1295" width="15.7109375" style="6" customWidth="1"/>
    <col min="1296" max="1296" width="17.42578125" style="6" customWidth="1"/>
    <col min="1297" max="1297" width="10.7109375" style="6" customWidth="1"/>
    <col min="1298" max="1298" width="13" style="6" customWidth="1"/>
    <col min="1299" max="1299" width="16.7109375" style="6" customWidth="1"/>
    <col min="1300" max="1540" width="9.140625" style="6"/>
    <col min="1541" max="1541" width="35.5703125" style="6" customWidth="1"/>
    <col min="1542" max="1542" width="23" style="6" customWidth="1"/>
    <col min="1543" max="1543" width="17.7109375" style="6" customWidth="1"/>
    <col min="1544" max="1544" width="18.42578125" style="6" customWidth="1"/>
    <col min="1545" max="1546" width="13.140625" style="6" customWidth="1"/>
    <col min="1547" max="1547" width="10.7109375" style="6" customWidth="1"/>
    <col min="1548" max="1548" width="40.85546875" style="6" customWidth="1"/>
    <col min="1549" max="1549" width="34.140625" style="6" customWidth="1"/>
    <col min="1550" max="1550" width="16" style="6" customWidth="1"/>
    <col min="1551" max="1551" width="15.7109375" style="6" customWidth="1"/>
    <col min="1552" max="1552" width="17.42578125" style="6" customWidth="1"/>
    <col min="1553" max="1553" width="10.7109375" style="6" customWidth="1"/>
    <col min="1554" max="1554" width="13" style="6" customWidth="1"/>
    <col min="1555" max="1555" width="16.7109375" style="6" customWidth="1"/>
    <col min="1556" max="1796" width="9.140625" style="6"/>
    <col min="1797" max="1797" width="35.5703125" style="6" customWidth="1"/>
    <col min="1798" max="1798" width="23" style="6" customWidth="1"/>
    <col min="1799" max="1799" width="17.7109375" style="6" customWidth="1"/>
    <col min="1800" max="1800" width="18.42578125" style="6" customWidth="1"/>
    <col min="1801" max="1802" width="13.140625" style="6" customWidth="1"/>
    <col min="1803" max="1803" width="10.7109375" style="6" customWidth="1"/>
    <col min="1804" max="1804" width="40.85546875" style="6" customWidth="1"/>
    <col min="1805" max="1805" width="34.140625" style="6" customWidth="1"/>
    <col min="1806" max="1806" width="16" style="6" customWidth="1"/>
    <col min="1807" max="1807" width="15.7109375" style="6" customWidth="1"/>
    <col min="1808" max="1808" width="17.42578125" style="6" customWidth="1"/>
    <col min="1809" max="1809" width="10.7109375" style="6" customWidth="1"/>
    <col min="1810" max="1810" width="13" style="6" customWidth="1"/>
    <col min="1811" max="1811" width="16.7109375" style="6" customWidth="1"/>
    <col min="1812" max="2052" width="9.140625" style="6"/>
    <col min="2053" max="2053" width="35.5703125" style="6" customWidth="1"/>
    <col min="2054" max="2054" width="23" style="6" customWidth="1"/>
    <col min="2055" max="2055" width="17.7109375" style="6" customWidth="1"/>
    <col min="2056" max="2056" width="18.42578125" style="6" customWidth="1"/>
    <col min="2057" max="2058" width="13.140625" style="6" customWidth="1"/>
    <col min="2059" max="2059" width="10.7109375" style="6" customWidth="1"/>
    <col min="2060" max="2060" width="40.85546875" style="6" customWidth="1"/>
    <col min="2061" max="2061" width="34.140625" style="6" customWidth="1"/>
    <col min="2062" max="2062" width="16" style="6" customWidth="1"/>
    <col min="2063" max="2063" width="15.7109375" style="6" customWidth="1"/>
    <col min="2064" max="2064" width="17.42578125" style="6" customWidth="1"/>
    <col min="2065" max="2065" width="10.7109375" style="6" customWidth="1"/>
    <col min="2066" max="2066" width="13" style="6" customWidth="1"/>
    <col min="2067" max="2067" width="16.7109375" style="6" customWidth="1"/>
    <col min="2068" max="2308" width="9.140625" style="6"/>
    <col min="2309" max="2309" width="35.5703125" style="6" customWidth="1"/>
    <col min="2310" max="2310" width="23" style="6" customWidth="1"/>
    <col min="2311" max="2311" width="17.7109375" style="6" customWidth="1"/>
    <col min="2312" max="2312" width="18.42578125" style="6" customWidth="1"/>
    <col min="2313" max="2314" width="13.140625" style="6" customWidth="1"/>
    <col min="2315" max="2315" width="10.7109375" style="6" customWidth="1"/>
    <col min="2316" max="2316" width="40.85546875" style="6" customWidth="1"/>
    <col min="2317" max="2317" width="34.140625" style="6" customWidth="1"/>
    <col min="2318" max="2318" width="16" style="6" customWidth="1"/>
    <col min="2319" max="2319" width="15.7109375" style="6" customWidth="1"/>
    <col min="2320" max="2320" width="17.42578125" style="6" customWidth="1"/>
    <col min="2321" max="2321" width="10.7109375" style="6" customWidth="1"/>
    <col min="2322" max="2322" width="13" style="6" customWidth="1"/>
    <col min="2323" max="2323" width="16.7109375" style="6" customWidth="1"/>
    <col min="2324" max="2564" width="9.140625" style="6"/>
    <col min="2565" max="2565" width="35.5703125" style="6" customWidth="1"/>
    <col min="2566" max="2566" width="23" style="6" customWidth="1"/>
    <col min="2567" max="2567" width="17.7109375" style="6" customWidth="1"/>
    <col min="2568" max="2568" width="18.42578125" style="6" customWidth="1"/>
    <col min="2569" max="2570" width="13.140625" style="6" customWidth="1"/>
    <col min="2571" max="2571" width="10.7109375" style="6" customWidth="1"/>
    <col min="2572" max="2572" width="40.85546875" style="6" customWidth="1"/>
    <col min="2573" max="2573" width="34.140625" style="6" customWidth="1"/>
    <col min="2574" max="2574" width="16" style="6" customWidth="1"/>
    <col min="2575" max="2575" width="15.7109375" style="6" customWidth="1"/>
    <col min="2576" max="2576" width="17.42578125" style="6" customWidth="1"/>
    <col min="2577" max="2577" width="10.7109375" style="6" customWidth="1"/>
    <col min="2578" max="2578" width="13" style="6" customWidth="1"/>
    <col min="2579" max="2579" width="16.7109375" style="6" customWidth="1"/>
    <col min="2580" max="2820" width="9.140625" style="6"/>
    <col min="2821" max="2821" width="35.5703125" style="6" customWidth="1"/>
    <col min="2822" max="2822" width="23" style="6" customWidth="1"/>
    <col min="2823" max="2823" width="17.7109375" style="6" customWidth="1"/>
    <col min="2824" max="2824" width="18.42578125" style="6" customWidth="1"/>
    <col min="2825" max="2826" width="13.140625" style="6" customWidth="1"/>
    <col min="2827" max="2827" width="10.7109375" style="6" customWidth="1"/>
    <col min="2828" max="2828" width="40.85546875" style="6" customWidth="1"/>
    <col min="2829" max="2829" width="34.140625" style="6" customWidth="1"/>
    <col min="2830" max="2830" width="16" style="6" customWidth="1"/>
    <col min="2831" max="2831" width="15.7109375" style="6" customWidth="1"/>
    <col min="2832" max="2832" width="17.42578125" style="6" customWidth="1"/>
    <col min="2833" max="2833" width="10.7109375" style="6" customWidth="1"/>
    <col min="2834" max="2834" width="13" style="6" customWidth="1"/>
    <col min="2835" max="2835" width="16.7109375" style="6" customWidth="1"/>
    <col min="2836" max="3076" width="9.140625" style="6"/>
    <col min="3077" max="3077" width="35.5703125" style="6" customWidth="1"/>
    <col min="3078" max="3078" width="23" style="6" customWidth="1"/>
    <col min="3079" max="3079" width="17.7109375" style="6" customWidth="1"/>
    <col min="3080" max="3080" width="18.42578125" style="6" customWidth="1"/>
    <col min="3081" max="3082" width="13.140625" style="6" customWidth="1"/>
    <col min="3083" max="3083" width="10.7109375" style="6" customWidth="1"/>
    <col min="3084" max="3084" width="40.85546875" style="6" customWidth="1"/>
    <col min="3085" max="3085" width="34.140625" style="6" customWidth="1"/>
    <col min="3086" max="3086" width="16" style="6" customWidth="1"/>
    <col min="3087" max="3087" width="15.7109375" style="6" customWidth="1"/>
    <col min="3088" max="3088" width="17.42578125" style="6" customWidth="1"/>
    <col min="3089" max="3089" width="10.7109375" style="6" customWidth="1"/>
    <col min="3090" max="3090" width="13" style="6" customWidth="1"/>
    <col min="3091" max="3091" width="16.7109375" style="6" customWidth="1"/>
    <col min="3092" max="3332" width="9.140625" style="6"/>
    <col min="3333" max="3333" width="35.5703125" style="6" customWidth="1"/>
    <col min="3334" max="3334" width="23" style="6" customWidth="1"/>
    <col min="3335" max="3335" width="17.7109375" style="6" customWidth="1"/>
    <col min="3336" max="3336" width="18.42578125" style="6" customWidth="1"/>
    <col min="3337" max="3338" width="13.140625" style="6" customWidth="1"/>
    <col min="3339" max="3339" width="10.7109375" style="6" customWidth="1"/>
    <col min="3340" max="3340" width="40.85546875" style="6" customWidth="1"/>
    <col min="3341" max="3341" width="34.140625" style="6" customWidth="1"/>
    <col min="3342" max="3342" width="16" style="6" customWidth="1"/>
    <col min="3343" max="3343" width="15.7109375" style="6" customWidth="1"/>
    <col min="3344" max="3344" width="17.42578125" style="6" customWidth="1"/>
    <col min="3345" max="3345" width="10.7109375" style="6" customWidth="1"/>
    <col min="3346" max="3346" width="13" style="6" customWidth="1"/>
    <col min="3347" max="3347" width="16.7109375" style="6" customWidth="1"/>
    <col min="3348" max="3588" width="9.140625" style="6"/>
    <col min="3589" max="3589" width="35.5703125" style="6" customWidth="1"/>
    <col min="3590" max="3590" width="23" style="6" customWidth="1"/>
    <col min="3591" max="3591" width="17.7109375" style="6" customWidth="1"/>
    <col min="3592" max="3592" width="18.42578125" style="6" customWidth="1"/>
    <col min="3593" max="3594" width="13.140625" style="6" customWidth="1"/>
    <col min="3595" max="3595" width="10.7109375" style="6" customWidth="1"/>
    <col min="3596" max="3596" width="40.85546875" style="6" customWidth="1"/>
    <col min="3597" max="3597" width="34.140625" style="6" customWidth="1"/>
    <col min="3598" max="3598" width="16" style="6" customWidth="1"/>
    <col min="3599" max="3599" width="15.7109375" style="6" customWidth="1"/>
    <col min="3600" max="3600" width="17.42578125" style="6" customWidth="1"/>
    <col min="3601" max="3601" width="10.7109375" style="6" customWidth="1"/>
    <col min="3602" max="3602" width="13" style="6" customWidth="1"/>
    <col min="3603" max="3603" width="16.7109375" style="6" customWidth="1"/>
    <col min="3604" max="3844" width="9.140625" style="6"/>
    <col min="3845" max="3845" width="35.5703125" style="6" customWidth="1"/>
    <col min="3846" max="3846" width="23" style="6" customWidth="1"/>
    <col min="3847" max="3847" width="17.7109375" style="6" customWidth="1"/>
    <col min="3848" max="3848" width="18.42578125" style="6" customWidth="1"/>
    <col min="3849" max="3850" width="13.140625" style="6" customWidth="1"/>
    <col min="3851" max="3851" width="10.7109375" style="6" customWidth="1"/>
    <col min="3852" max="3852" width="40.85546875" style="6" customWidth="1"/>
    <col min="3853" max="3853" width="34.140625" style="6" customWidth="1"/>
    <col min="3854" max="3854" width="16" style="6" customWidth="1"/>
    <col min="3855" max="3855" width="15.7109375" style="6" customWidth="1"/>
    <col min="3856" max="3856" width="17.42578125" style="6" customWidth="1"/>
    <col min="3857" max="3857" width="10.7109375" style="6" customWidth="1"/>
    <col min="3858" max="3858" width="13" style="6" customWidth="1"/>
    <col min="3859" max="3859" width="16.7109375" style="6" customWidth="1"/>
    <col min="3860" max="4100" width="9.140625" style="6"/>
    <col min="4101" max="4101" width="35.5703125" style="6" customWidth="1"/>
    <col min="4102" max="4102" width="23" style="6" customWidth="1"/>
    <col min="4103" max="4103" width="17.7109375" style="6" customWidth="1"/>
    <col min="4104" max="4104" width="18.42578125" style="6" customWidth="1"/>
    <col min="4105" max="4106" width="13.140625" style="6" customWidth="1"/>
    <col min="4107" max="4107" width="10.7109375" style="6" customWidth="1"/>
    <col min="4108" max="4108" width="40.85546875" style="6" customWidth="1"/>
    <col min="4109" max="4109" width="34.140625" style="6" customWidth="1"/>
    <col min="4110" max="4110" width="16" style="6" customWidth="1"/>
    <col min="4111" max="4111" width="15.7109375" style="6" customWidth="1"/>
    <col min="4112" max="4112" width="17.42578125" style="6" customWidth="1"/>
    <col min="4113" max="4113" width="10.7109375" style="6" customWidth="1"/>
    <col min="4114" max="4114" width="13" style="6" customWidth="1"/>
    <col min="4115" max="4115" width="16.7109375" style="6" customWidth="1"/>
    <col min="4116" max="4356" width="9.140625" style="6"/>
    <col min="4357" max="4357" width="35.5703125" style="6" customWidth="1"/>
    <col min="4358" max="4358" width="23" style="6" customWidth="1"/>
    <col min="4359" max="4359" width="17.7109375" style="6" customWidth="1"/>
    <col min="4360" max="4360" width="18.42578125" style="6" customWidth="1"/>
    <col min="4361" max="4362" width="13.140625" style="6" customWidth="1"/>
    <col min="4363" max="4363" width="10.7109375" style="6" customWidth="1"/>
    <col min="4364" max="4364" width="40.85546875" style="6" customWidth="1"/>
    <col min="4365" max="4365" width="34.140625" style="6" customWidth="1"/>
    <col min="4366" max="4366" width="16" style="6" customWidth="1"/>
    <col min="4367" max="4367" width="15.7109375" style="6" customWidth="1"/>
    <col min="4368" max="4368" width="17.42578125" style="6" customWidth="1"/>
    <col min="4369" max="4369" width="10.7109375" style="6" customWidth="1"/>
    <col min="4370" max="4370" width="13" style="6" customWidth="1"/>
    <col min="4371" max="4371" width="16.7109375" style="6" customWidth="1"/>
    <col min="4372" max="4612" width="9.140625" style="6"/>
    <col min="4613" max="4613" width="35.5703125" style="6" customWidth="1"/>
    <col min="4614" max="4614" width="23" style="6" customWidth="1"/>
    <col min="4615" max="4615" width="17.7109375" style="6" customWidth="1"/>
    <col min="4616" max="4616" width="18.42578125" style="6" customWidth="1"/>
    <col min="4617" max="4618" width="13.140625" style="6" customWidth="1"/>
    <col min="4619" max="4619" width="10.7109375" style="6" customWidth="1"/>
    <col min="4620" max="4620" width="40.85546875" style="6" customWidth="1"/>
    <col min="4621" max="4621" width="34.140625" style="6" customWidth="1"/>
    <col min="4622" max="4622" width="16" style="6" customWidth="1"/>
    <col min="4623" max="4623" width="15.7109375" style="6" customWidth="1"/>
    <col min="4624" max="4624" width="17.42578125" style="6" customWidth="1"/>
    <col min="4625" max="4625" width="10.7109375" style="6" customWidth="1"/>
    <col min="4626" max="4626" width="13" style="6" customWidth="1"/>
    <col min="4627" max="4627" width="16.7109375" style="6" customWidth="1"/>
    <col min="4628" max="4868" width="9.140625" style="6"/>
    <col min="4869" max="4869" width="35.5703125" style="6" customWidth="1"/>
    <col min="4870" max="4870" width="23" style="6" customWidth="1"/>
    <col min="4871" max="4871" width="17.7109375" style="6" customWidth="1"/>
    <col min="4872" max="4872" width="18.42578125" style="6" customWidth="1"/>
    <col min="4873" max="4874" width="13.140625" style="6" customWidth="1"/>
    <col min="4875" max="4875" width="10.7109375" style="6" customWidth="1"/>
    <col min="4876" max="4876" width="40.85546875" style="6" customWidth="1"/>
    <col min="4877" max="4877" width="34.140625" style="6" customWidth="1"/>
    <col min="4878" max="4878" width="16" style="6" customWidth="1"/>
    <col min="4879" max="4879" width="15.7109375" style="6" customWidth="1"/>
    <col min="4880" max="4880" width="17.42578125" style="6" customWidth="1"/>
    <col min="4881" max="4881" width="10.7109375" style="6" customWidth="1"/>
    <col min="4882" max="4882" width="13" style="6" customWidth="1"/>
    <col min="4883" max="4883" width="16.7109375" style="6" customWidth="1"/>
    <col min="4884" max="5124" width="9.140625" style="6"/>
    <col min="5125" max="5125" width="35.5703125" style="6" customWidth="1"/>
    <col min="5126" max="5126" width="23" style="6" customWidth="1"/>
    <col min="5127" max="5127" width="17.7109375" style="6" customWidth="1"/>
    <col min="5128" max="5128" width="18.42578125" style="6" customWidth="1"/>
    <col min="5129" max="5130" width="13.140625" style="6" customWidth="1"/>
    <col min="5131" max="5131" width="10.7109375" style="6" customWidth="1"/>
    <col min="5132" max="5132" width="40.85546875" style="6" customWidth="1"/>
    <col min="5133" max="5133" width="34.140625" style="6" customWidth="1"/>
    <col min="5134" max="5134" width="16" style="6" customWidth="1"/>
    <col min="5135" max="5135" width="15.7109375" style="6" customWidth="1"/>
    <col min="5136" max="5136" width="17.42578125" style="6" customWidth="1"/>
    <col min="5137" max="5137" width="10.7109375" style="6" customWidth="1"/>
    <col min="5138" max="5138" width="13" style="6" customWidth="1"/>
    <col min="5139" max="5139" width="16.7109375" style="6" customWidth="1"/>
    <col min="5140" max="5380" width="9.140625" style="6"/>
    <col min="5381" max="5381" width="35.5703125" style="6" customWidth="1"/>
    <col min="5382" max="5382" width="23" style="6" customWidth="1"/>
    <col min="5383" max="5383" width="17.7109375" style="6" customWidth="1"/>
    <col min="5384" max="5384" width="18.42578125" style="6" customWidth="1"/>
    <col min="5385" max="5386" width="13.140625" style="6" customWidth="1"/>
    <col min="5387" max="5387" width="10.7109375" style="6" customWidth="1"/>
    <col min="5388" max="5388" width="40.85546875" style="6" customWidth="1"/>
    <col min="5389" max="5389" width="34.140625" style="6" customWidth="1"/>
    <col min="5390" max="5390" width="16" style="6" customWidth="1"/>
    <col min="5391" max="5391" width="15.7109375" style="6" customWidth="1"/>
    <col min="5392" max="5392" width="17.42578125" style="6" customWidth="1"/>
    <col min="5393" max="5393" width="10.7109375" style="6" customWidth="1"/>
    <col min="5394" max="5394" width="13" style="6" customWidth="1"/>
    <col min="5395" max="5395" width="16.7109375" style="6" customWidth="1"/>
    <col min="5396" max="5636" width="9.140625" style="6"/>
    <col min="5637" max="5637" width="35.5703125" style="6" customWidth="1"/>
    <col min="5638" max="5638" width="23" style="6" customWidth="1"/>
    <col min="5639" max="5639" width="17.7109375" style="6" customWidth="1"/>
    <col min="5640" max="5640" width="18.42578125" style="6" customWidth="1"/>
    <col min="5641" max="5642" width="13.140625" style="6" customWidth="1"/>
    <col min="5643" max="5643" width="10.7109375" style="6" customWidth="1"/>
    <col min="5644" max="5644" width="40.85546875" style="6" customWidth="1"/>
    <col min="5645" max="5645" width="34.140625" style="6" customWidth="1"/>
    <col min="5646" max="5646" width="16" style="6" customWidth="1"/>
    <col min="5647" max="5647" width="15.7109375" style="6" customWidth="1"/>
    <col min="5648" max="5648" width="17.42578125" style="6" customWidth="1"/>
    <col min="5649" max="5649" width="10.7109375" style="6" customWidth="1"/>
    <col min="5650" max="5650" width="13" style="6" customWidth="1"/>
    <col min="5651" max="5651" width="16.7109375" style="6" customWidth="1"/>
    <col min="5652" max="5892" width="9.140625" style="6"/>
    <col min="5893" max="5893" width="35.5703125" style="6" customWidth="1"/>
    <col min="5894" max="5894" width="23" style="6" customWidth="1"/>
    <col min="5895" max="5895" width="17.7109375" style="6" customWidth="1"/>
    <col min="5896" max="5896" width="18.42578125" style="6" customWidth="1"/>
    <col min="5897" max="5898" width="13.140625" style="6" customWidth="1"/>
    <col min="5899" max="5899" width="10.7109375" style="6" customWidth="1"/>
    <col min="5900" max="5900" width="40.85546875" style="6" customWidth="1"/>
    <col min="5901" max="5901" width="34.140625" style="6" customWidth="1"/>
    <col min="5902" max="5902" width="16" style="6" customWidth="1"/>
    <col min="5903" max="5903" width="15.7109375" style="6" customWidth="1"/>
    <col min="5904" max="5904" width="17.42578125" style="6" customWidth="1"/>
    <col min="5905" max="5905" width="10.7109375" style="6" customWidth="1"/>
    <col min="5906" max="5906" width="13" style="6" customWidth="1"/>
    <col min="5907" max="5907" width="16.7109375" style="6" customWidth="1"/>
    <col min="5908" max="6148" width="9.140625" style="6"/>
    <col min="6149" max="6149" width="35.5703125" style="6" customWidth="1"/>
    <col min="6150" max="6150" width="23" style="6" customWidth="1"/>
    <col min="6151" max="6151" width="17.7109375" style="6" customWidth="1"/>
    <col min="6152" max="6152" width="18.42578125" style="6" customWidth="1"/>
    <col min="6153" max="6154" width="13.140625" style="6" customWidth="1"/>
    <col min="6155" max="6155" width="10.7109375" style="6" customWidth="1"/>
    <col min="6156" max="6156" width="40.85546875" style="6" customWidth="1"/>
    <col min="6157" max="6157" width="34.140625" style="6" customWidth="1"/>
    <col min="6158" max="6158" width="16" style="6" customWidth="1"/>
    <col min="6159" max="6159" width="15.7109375" style="6" customWidth="1"/>
    <col min="6160" max="6160" width="17.42578125" style="6" customWidth="1"/>
    <col min="6161" max="6161" width="10.7109375" style="6" customWidth="1"/>
    <col min="6162" max="6162" width="13" style="6" customWidth="1"/>
    <col min="6163" max="6163" width="16.7109375" style="6" customWidth="1"/>
    <col min="6164" max="6404" width="9.140625" style="6"/>
    <col min="6405" max="6405" width="35.5703125" style="6" customWidth="1"/>
    <col min="6406" max="6406" width="23" style="6" customWidth="1"/>
    <col min="6407" max="6407" width="17.7109375" style="6" customWidth="1"/>
    <col min="6408" max="6408" width="18.42578125" style="6" customWidth="1"/>
    <col min="6409" max="6410" width="13.140625" style="6" customWidth="1"/>
    <col min="6411" max="6411" width="10.7109375" style="6" customWidth="1"/>
    <col min="6412" max="6412" width="40.85546875" style="6" customWidth="1"/>
    <col min="6413" max="6413" width="34.140625" style="6" customWidth="1"/>
    <col min="6414" max="6414" width="16" style="6" customWidth="1"/>
    <col min="6415" max="6415" width="15.7109375" style="6" customWidth="1"/>
    <col min="6416" max="6416" width="17.42578125" style="6" customWidth="1"/>
    <col min="6417" max="6417" width="10.7109375" style="6" customWidth="1"/>
    <col min="6418" max="6418" width="13" style="6" customWidth="1"/>
    <col min="6419" max="6419" width="16.7109375" style="6" customWidth="1"/>
    <col min="6420" max="6660" width="9.140625" style="6"/>
    <col min="6661" max="6661" width="35.5703125" style="6" customWidth="1"/>
    <col min="6662" max="6662" width="23" style="6" customWidth="1"/>
    <col min="6663" max="6663" width="17.7109375" style="6" customWidth="1"/>
    <col min="6664" max="6664" width="18.42578125" style="6" customWidth="1"/>
    <col min="6665" max="6666" width="13.140625" style="6" customWidth="1"/>
    <col min="6667" max="6667" width="10.7109375" style="6" customWidth="1"/>
    <col min="6668" max="6668" width="40.85546875" style="6" customWidth="1"/>
    <col min="6669" max="6669" width="34.140625" style="6" customWidth="1"/>
    <col min="6670" max="6670" width="16" style="6" customWidth="1"/>
    <col min="6671" max="6671" width="15.7109375" style="6" customWidth="1"/>
    <col min="6672" max="6672" width="17.42578125" style="6" customWidth="1"/>
    <col min="6673" max="6673" width="10.7109375" style="6" customWidth="1"/>
    <col min="6674" max="6674" width="13" style="6" customWidth="1"/>
    <col min="6675" max="6675" width="16.7109375" style="6" customWidth="1"/>
    <col min="6676" max="6916" width="9.140625" style="6"/>
    <col min="6917" max="6917" width="35.5703125" style="6" customWidth="1"/>
    <col min="6918" max="6918" width="23" style="6" customWidth="1"/>
    <col min="6919" max="6919" width="17.7109375" style="6" customWidth="1"/>
    <col min="6920" max="6920" width="18.42578125" style="6" customWidth="1"/>
    <col min="6921" max="6922" width="13.140625" style="6" customWidth="1"/>
    <col min="6923" max="6923" width="10.7109375" style="6" customWidth="1"/>
    <col min="6924" max="6924" width="40.85546875" style="6" customWidth="1"/>
    <col min="6925" max="6925" width="34.140625" style="6" customWidth="1"/>
    <col min="6926" max="6926" width="16" style="6" customWidth="1"/>
    <col min="6927" max="6927" width="15.7109375" style="6" customWidth="1"/>
    <col min="6928" max="6928" width="17.42578125" style="6" customWidth="1"/>
    <col min="6929" max="6929" width="10.7109375" style="6" customWidth="1"/>
    <col min="6930" max="6930" width="13" style="6" customWidth="1"/>
    <col min="6931" max="6931" width="16.7109375" style="6" customWidth="1"/>
    <col min="6932" max="7172" width="9.140625" style="6"/>
    <col min="7173" max="7173" width="35.5703125" style="6" customWidth="1"/>
    <col min="7174" max="7174" width="23" style="6" customWidth="1"/>
    <col min="7175" max="7175" width="17.7109375" style="6" customWidth="1"/>
    <col min="7176" max="7176" width="18.42578125" style="6" customWidth="1"/>
    <col min="7177" max="7178" width="13.140625" style="6" customWidth="1"/>
    <col min="7179" max="7179" width="10.7109375" style="6" customWidth="1"/>
    <col min="7180" max="7180" width="40.85546875" style="6" customWidth="1"/>
    <col min="7181" max="7181" width="34.140625" style="6" customWidth="1"/>
    <col min="7182" max="7182" width="16" style="6" customWidth="1"/>
    <col min="7183" max="7183" width="15.7109375" style="6" customWidth="1"/>
    <col min="7184" max="7184" width="17.42578125" style="6" customWidth="1"/>
    <col min="7185" max="7185" width="10.7109375" style="6" customWidth="1"/>
    <col min="7186" max="7186" width="13" style="6" customWidth="1"/>
    <col min="7187" max="7187" width="16.7109375" style="6" customWidth="1"/>
    <col min="7188" max="7428" width="9.140625" style="6"/>
    <col min="7429" max="7429" width="35.5703125" style="6" customWidth="1"/>
    <col min="7430" max="7430" width="23" style="6" customWidth="1"/>
    <col min="7431" max="7431" width="17.7109375" style="6" customWidth="1"/>
    <col min="7432" max="7432" width="18.42578125" style="6" customWidth="1"/>
    <col min="7433" max="7434" width="13.140625" style="6" customWidth="1"/>
    <col min="7435" max="7435" width="10.7109375" style="6" customWidth="1"/>
    <col min="7436" max="7436" width="40.85546875" style="6" customWidth="1"/>
    <col min="7437" max="7437" width="34.140625" style="6" customWidth="1"/>
    <col min="7438" max="7438" width="16" style="6" customWidth="1"/>
    <col min="7439" max="7439" width="15.7109375" style="6" customWidth="1"/>
    <col min="7440" max="7440" width="17.42578125" style="6" customWidth="1"/>
    <col min="7441" max="7441" width="10.7109375" style="6" customWidth="1"/>
    <col min="7442" max="7442" width="13" style="6" customWidth="1"/>
    <col min="7443" max="7443" width="16.7109375" style="6" customWidth="1"/>
    <col min="7444" max="7684" width="9.140625" style="6"/>
    <col min="7685" max="7685" width="35.5703125" style="6" customWidth="1"/>
    <col min="7686" max="7686" width="23" style="6" customWidth="1"/>
    <col min="7687" max="7687" width="17.7109375" style="6" customWidth="1"/>
    <col min="7688" max="7688" width="18.42578125" style="6" customWidth="1"/>
    <col min="7689" max="7690" width="13.140625" style="6" customWidth="1"/>
    <col min="7691" max="7691" width="10.7109375" style="6" customWidth="1"/>
    <col min="7692" max="7692" width="40.85546875" style="6" customWidth="1"/>
    <col min="7693" max="7693" width="34.140625" style="6" customWidth="1"/>
    <col min="7694" max="7694" width="16" style="6" customWidth="1"/>
    <col min="7695" max="7695" width="15.7109375" style="6" customWidth="1"/>
    <col min="7696" max="7696" width="17.42578125" style="6" customWidth="1"/>
    <col min="7697" max="7697" width="10.7109375" style="6" customWidth="1"/>
    <col min="7698" max="7698" width="13" style="6" customWidth="1"/>
    <col min="7699" max="7699" width="16.7109375" style="6" customWidth="1"/>
    <col min="7700" max="7940" width="9.140625" style="6"/>
    <col min="7941" max="7941" width="35.5703125" style="6" customWidth="1"/>
    <col min="7942" max="7942" width="23" style="6" customWidth="1"/>
    <col min="7943" max="7943" width="17.7109375" style="6" customWidth="1"/>
    <col min="7944" max="7944" width="18.42578125" style="6" customWidth="1"/>
    <col min="7945" max="7946" width="13.140625" style="6" customWidth="1"/>
    <col min="7947" max="7947" width="10.7109375" style="6" customWidth="1"/>
    <col min="7948" max="7948" width="40.85546875" style="6" customWidth="1"/>
    <col min="7949" max="7949" width="34.140625" style="6" customWidth="1"/>
    <col min="7950" max="7950" width="16" style="6" customWidth="1"/>
    <col min="7951" max="7951" width="15.7109375" style="6" customWidth="1"/>
    <col min="7952" max="7952" width="17.42578125" style="6" customWidth="1"/>
    <col min="7953" max="7953" width="10.7109375" style="6" customWidth="1"/>
    <col min="7954" max="7954" width="13" style="6" customWidth="1"/>
    <col min="7955" max="7955" width="16.7109375" style="6" customWidth="1"/>
    <col min="7956" max="8196" width="9.140625" style="6"/>
    <col min="8197" max="8197" width="35.5703125" style="6" customWidth="1"/>
    <col min="8198" max="8198" width="23" style="6" customWidth="1"/>
    <col min="8199" max="8199" width="17.7109375" style="6" customWidth="1"/>
    <col min="8200" max="8200" width="18.42578125" style="6" customWidth="1"/>
    <col min="8201" max="8202" width="13.140625" style="6" customWidth="1"/>
    <col min="8203" max="8203" width="10.7109375" style="6" customWidth="1"/>
    <col min="8204" max="8204" width="40.85546875" style="6" customWidth="1"/>
    <col min="8205" max="8205" width="34.140625" style="6" customWidth="1"/>
    <col min="8206" max="8206" width="16" style="6" customWidth="1"/>
    <col min="8207" max="8207" width="15.7109375" style="6" customWidth="1"/>
    <col min="8208" max="8208" width="17.42578125" style="6" customWidth="1"/>
    <col min="8209" max="8209" width="10.7109375" style="6" customWidth="1"/>
    <col min="8210" max="8210" width="13" style="6" customWidth="1"/>
    <col min="8211" max="8211" width="16.7109375" style="6" customWidth="1"/>
    <col min="8212" max="8452" width="9.140625" style="6"/>
    <col min="8453" max="8453" width="35.5703125" style="6" customWidth="1"/>
    <col min="8454" max="8454" width="23" style="6" customWidth="1"/>
    <col min="8455" max="8455" width="17.7109375" style="6" customWidth="1"/>
    <col min="8456" max="8456" width="18.42578125" style="6" customWidth="1"/>
    <col min="8457" max="8458" width="13.140625" style="6" customWidth="1"/>
    <col min="8459" max="8459" width="10.7109375" style="6" customWidth="1"/>
    <col min="8460" max="8460" width="40.85546875" style="6" customWidth="1"/>
    <col min="8461" max="8461" width="34.140625" style="6" customWidth="1"/>
    <col min="8462" max="8462" width="16" style="6" customWidth="1"/>
    <col min="8463" max="8463" width="15.7109375" style="6" customWidth="1"/>
    <col min="8464" max="8464" width="17.42578125" style="6" customWidth="1"/>
    <col min="8465" max="8465" width="10.7109375" style="6" customWidth="1"/>
    <col min="8466" max="8466" width="13" style="6" customWidth="1"/>
    <col min="8467" max="8467" width="16.7109375" style="6" customWidth="1"/>
    <col min="8468" max="8708" width="9.140625" style="6"/>
    <col min="8709" max="8709" width="35.5703125" style="6" customWidth="1"/>
    <col min="8710" max="8710" width="23" style="6" customWidth="1"/>
    <col min="8711" max="8711" width="17.7109375" style="6" customWidth="1"/>
    <col min="8712" max="8712" width="18.42578125" style="6" customWidth="1"/>
    <col min="8713" max="8714" width="13.140625" style="6" customWidth="1"/>
    <col min="8715" max="8715" width="10.7109375" style="6" customWidth="1"/>
    <col min="8716" max="8716" width="40.85546875" style="6" customWidth="1"/>
    <col min="8717" max="8717" width="34.140625" style="6" customWidth="1"/>
    <col min="8718" max="8718" width="16" style="6" customWidth="1"/>
    <col min="8719" max="8719" width="15.7109375" style="6" customWidth="1"/>
    <col min="8720" max="8720" width="17.42578125" style="6" customWidth="1"/>
    <col min="8721" max="8721" width="10.7109375" style="6" customWidth="1"/>
    <col min="8722" max="8722" width="13" style="6" customWidth="1"/>
    <col min="8723" max="8723" width="16.7109375" style="6" customWidth="1"/>
    <col min="8724" max="8964" width="9.140625" style="6"/>
    <col min="8965" max="8965" width="35.5703125" style="6" customWidth="1"/>
    <col min="8966" max="8966" width="23" style="6" customWidth="1"/>
    <col min="8967" max="8967" width="17.7109375" style="6" customWidth="1"/>
    <col min="8968" max="8968" width="18.42578125" style="6" customWidth="1"/>
    <col min="8969" max="8970" width="13.140625" style="6" customWidth="1"/>
    <col min="8971" max="8971" width="10.7109375" style="6" customWidth="1"/>
    <col min="8972" max="8972" width="40.85546875" style="6" customWidth="1"/>
    <col min="8973" max="8973" width="34.140625" style="6" customWidth="1"/>
    <col min="8974" max="8974" width="16" style="6" customWidth="1"/>
    <col min="8975" max="8975" width="15.7109375" style="6" customWidth="1"/>
    <col min="8976" max="8976" width="17.42578125" style="6" customWidth="1"/>
    <col min="8977" max="8977" width="10.7109375" style="6" customWidth="1"/>
    <col min="8978" max="8978" width="13" style="6" customWidth="1"/>
    <col min="8979" max="8979" width="16.7109375" style="6" customWidth="1"/>
    <col min="8980" max="9220" width="9.140625" style="6"/>
    <col min="9221" max="9221" width="35.5703125" style="6" customWidth="1"/>
    <col min="9222" max="9222" width="23" style="6" customWidth="1"/>
    <col min="9223" max="9223" width="17.7109375" style="6" customWidth="1"/>
    <col min="9224" max="9224" width="18.42578125" style="6" customWidth="1"/>
    <col min="9225" max="9226" width="13.140625" style="6" customWidth="1"/>
    <col min="9227" max="9227" width="10.7109375" style="6" customWidth="1"/>
    <col min="9228" max="9228" width="40.85546875" style="6" customWidth="1"/>
    <col min="9229" max="9229" width="34.140625" style="6" customWidth="1"/>
    <col min="9230" max="9230" width="16" style="6" customWidth="1"/>
    <col min="9231" max="9231" width="15.7109375" style="6" customWidth="1"/>
    <col min="9232" max="9232" width="17.42578125" style="6" customWidth="1"/>
    <col min="9233" max="9233" width="10.7109375" style="6" customWidth="1"/>
    <col min="9234" max="9234" width="13" style="6" customWidth="1"/>
    <col min="9235" max="9235" width="16.7109375" style="6" customWidth="1"/>
    <col min="9236" max="9476" width="9.140625" style="6"/>
    <col min="9477" max="9477" width="35.5703125" style="6" customWidth="1"/>
    <col min="9478" max="9478" width="23" style="6" customWidth="1"/>
    <col min="9479" max="9479" width="17.7109375" style="6" customWidth="1"/>
    <col min="9480" max="9480" width="18.42578125" style="6" customWidth="1"/>
    <col min="9481" max="9482" width="13.140625" style="6" customWidth="1"/>
    <col min="9483" max="9483" width="10.7109375" style="6" customWidth="1"/>
    <col min="9484" max="9484" width="40.85546875" style="6" customWidth="1"/>
    <col min="9485" max="9485" width="34.140625" style="6" customWidth="1"/>
    <col min="9486" max="9486" width="16" style="6" customWidth="1"/>
    <col min="9487" max="9487" width="15.7109375" style="6" customWidth="1"/>
    <col min="9488" max="9488" width="17.42578125" style="6" customWidth="1"/>
    <col min="9489" max="9489" width="10.7109375" style="6" customWidth="1"/>
    <col min="9490" max="9490" width="13" style="6" customWidth="1"/>
    <col min="9491" max="9491" width="16.7109375" style="6" customWidth="1"/>
    <col min="9492" max="9732" width="9.140625" style="6"/>
    <col min="9733" max="9733" width="35.5703125" style="6" customWidth="1"/>
    <col min="9734" max="9734" width="23" style="6" customWidth="1"/>
    <col min="9735" max="9735" width="17.7109375" style="6" customWidth="1"/>
    <col min="9736" max="9736" width="18.42578125" style="6" customWidth="1"/>
    <col min="9737" max="9738" width="13.140625" style="6" customWidth="1"/>
    <col min="9739" max="9739" width="10.7109375" style="6" customWidth="1"/>
    <col min="9740" max="9740" width="40.85546875" style="6" customWidth="1"/>
    <col min="9741" max="9741" width="34.140625" style="6" customWidth="1"/>
    <col min="9742" max="9742" width="16" style="6" customWidth="1"/>
    <col min="9743" max="9743" width="15.7109375" style="6" customWidth="1"/>
    <col min="9744" max="9744" width="17.42578125" style="6" customWidth="1"/>
    <col min="9745" max="9745" width="10.7109375" style="6" customWidth="1"/>
    <col min="9746" max="9746" width="13" style="6" customWidth="1"/>
    <col min="9747" max="9747" width="16.7109375" style="6" customWidth="1"/>
    <col min="9748" max="9988" width="9.140625" style="6"/>
    <col min="9989" max="9989" width="35.5703125" style="6" customWidth="1"/>
    <col min="9990" max="9990" width="23" style="6" customWidth="1"/>
    <col min="9991" max="9991" width="17.7109375" style="6" customWidth="1"/>
    <col min="9992" max="9992" width="18.42578125" style="6" customWidth="1"/>
    <col min="9993" max="9994" width="13.140625" style="6" customWidth="1"/>
    <col min="9995" max="9995" width="10.7109375" style="6" customWidth="1"/>
    <col min="9996" max="9996" width="40.85546875" style="6" customWidth="1"/>
    <col min="9997" max="9997" width="34.140625" style="6" customWidth="1"/>
    <col min="9998" max="9998" width="16" style="6" customWidth="1"/>
    <col min="9999" max="9999" width="15.7109375" style="6" customWidth="1"/>
    <col min="10000" max="10000" width="17.42578125" style="6" customWidth="1"/>
    <col min="10001" max="10001" width="10.7109375" style="6" customWidth="1"/>
    <col min="10002" max="10002" width="13" style="6" customWidth="1"/>
    <col min="10003" max="10003" width="16.7109375" style="6" customWidth="1"/>
    <col min="10004" max="10244" width="9.140625" style="6"/>
    <col min="10245" max="10245" width="35.5703125" style="6" customWidth="1"/>
    <col min="10246" max="10246" width="23" style="6" customWidth="1"/>
    <col min="10247" max="10247" width="17.7109375" style="6" customWidth="1"/>
    <col min="10248" max="10248" width="18.42578125" style="6" customWidth="1"/>
    <col min="10249" max="10250" width="13.140625" style="6" customWidth="1"/>
    <col min="10251" max="10251" width="10.7109375" style="6" customWidth="1"/>
    <col min="10252" max="10252" width="40.85546875" style="6" customWidth="1"/>
    <col min="10253" max="10253" width="34.140625" style="6" customWidth="1"/>
    <col min="10254" max="10254" width="16" style="6" customWidth="1"/>
    <col min="10255" max="10255" width="15.7109375" style="6" customWidth="1"/>
    <col min="10256" max="10256" width="17.42578125" style="6" customWidth="1"/>
    <col min="10257" max="10257" width="10.7109375" style="6" customWidth="1"/>
    <col min="10258" max="10258" width="13" style="6" customWidth="1"/>
    <col min="10259" max="10259" width="16.7109375" style="6" customWidth="1"/>
    <col min="10260" max="10500" width="9.140625" style="6"/>
    <col min="10501" max="10501" width="35.5703125" style="6" customWidth="1"/>
    <col min="10502" max="10502" width="23" style="6" customWidth="1"/>
    <col min="10503" max="10503" width="17.7109375" style="6" customWidth="1"/>
    <col min="10504" max="10504" width="18.42578125" style="6" customWidth="1"/>
    <col min="10505" max="10506" width="13.140625" style="6" customWidth="1"/>
    <col min="10507" max="10507" width="10.7109375" style="6" customWidth="1"/>
    <col min="10508" max="10508" width="40.85546875" style="6" customWidth="1"/>
    <col min="10509" max="10509" width="34.140625" style="6" customWidth="1"/>
    <col min="10510" max="10510" width="16" style="6" customWidth="1"/>
    <col min="10511" max="10511" width="15.7109375" style="6" customWidth="1"/>
    <col min="10512" max="10512" width="17.42578125" style="6" customWidth="1"/>
    <col min="10513" max="10513" width="10.7109375" style="6" customWidth="1"/>
    <col min="10514" max="10514" width="13" style="6" customWidth="1"/>
    <col min="10515" max="10515" width="16.7109375" style="6" customWidth="1"/>
    <col min="10516" max="10756" width="9.140625" style="6"/>
    <col min="10757" max="10757" width="35.5703125" style="6" customWidth="1"/>
    <col min="10758" max="10758" width="23" style="6" customWidth="1"/>
    <col min="10759" max="10759" width="17.7109375" style="6" customWidth="1"/>
    <col min="10760" max="10760" width="18.42578125" style="6" customWidth="1"/>
    <col min="10761" max="10762" width="13.140625" style="6" customWidth="1"/>
    <col min="10763" max="10763" width="10.7109375" style="6" customWidth="1"/>
    <col min="10764" max="10764" width="40.85546875" style="6" customWidth="1"/>
    <col min="10765" max="10765" width="34.140625" style="6" customWidth="1"/>
    <col min="10766" max="10766" width="16" style="6" customWidth="1"/>
    <col min="10767" max="10767" width="15.7109375" style="6" customWidth="1"/>
    <col min="10768" max="10768" width="17.42578125" style="6" customWidth="1"/>
    <col min="10769" max="10769" width="10.7109375" style="6" customWidth="1"/>
    <col min="10770" max="10770" width="13" style="6" customWidth="1"/>
    <col min="10771" max="10771" width="16.7109375" style="6" customWidth="1"/>
    <col min="10772" max="11012" width="9.140625" style="6"/>
    <col min="11013" max="11013" width="35.5703125" style="6" customWidth="1"/>
    <col min="11014" max="11014" width="23" style="6" customWidth="1"/>
    <col min="11015" max="11015" width="17.7109375" style="6" customWidth="1"/>
    <col min="11016" max="11016" width="18.42578125" style="6" customWidth="1"/>
    <col min="11017" max="11018" width="13.140625" style="6" customWidth="1"/>
    <col min="11019" max="11019" width="10.7109375" style="6" customWidth="1"/>
    <col min="11020" max="11020" width="40.85546875" style="6" customWidth="1"/>
    <col min="11021" max="11021" width="34.140625" style="6" customWidth="1"/>
    <col min="11022" max="11022" width="16" style="6" customWidth="1"/>
    <col min="11023" max="11023" width="15.7109375" style="6" customWidth="1"/>
    <col min="11024" max="11024" width="17.42578125" style="6" customWidth="1"/>
    <col min="11025" max="11025" width="10.7109375" style="6" customWidth="1"/>
    <col min="11026" max="11026" width="13" style="6" customWidth="1"/>
    <col min="11027" max="11027" width="16.7109375" style="6" customWidth="1"/>
    <col min="11028" max="11268" width="9.140625" style="6"/>
    <col min="11269" max="11269" width="35.5703125" style="6" customWidth="1"/>
    <col min="11270" max="11270" width="23" style="6" customWidth="1"/>
    <col min="11271" max="11271" width="17.7109375" style="6" customWidth="1"/>
    <col min="11272" max="11272" width="18.42578125" style="6" customWidth="1"/>
    <col min="11273" max="11274" width="13.140625" style="6" customWidth="1"/>
    <col min="11275" max="11275" width="10.7109375" style="6" customWidth="1"/>
    <col min="11276" max="11276" width="40.85546875" style="6" customWidth="1"/>
    <col min="11277" max="11277" width="34.140625" style="6" customWidth="1"/>
    <col min="11278" max="11278" width="16" style="6" customWidth="1"/>
    <col min="11279" max="11279" width="15.7109375" style="6" customWidth="1"/>
    <col min="11280" max="11280" width="17.42578125" style="6" customWidth="1"/>
    <col min="11281" max="11281" width="10.7109375" style="6" customWidth="1"/>
    <col min="11282" max="11282" width="13" style="6" customWidth="1"/>
    <col min="11283" max="11283" width="16.7109375" style="6" customWidth="1"/>
    <col min="11284" max="11524" width="9.140625" style="6"/>
    <col min="11525" max="11525" width="35.5703125" style="6" customWidth="1"/>
    <col min="11526" max="11526" width="23" style="6" customWidth="1"/>
    <col min="11527" max="11527" width="17.7109375" style="6" customWidth="1"/>
    <col min="11528" max="11528" width="18.42578125" style="6" customWidth="1"/>
    <col min="11529" max="11530" width="13.140625" style="6" customWidth="1"/>
    <col min="11531" max="11531" width="10.7109375" style="6" customWidth="1"/>
    <col min="11532" max="11532" width="40.85546875" style="6" customWidth="1"/>
    <col min="11533" max="11533" width="34.140625" style="6" customWidth="1"/>
    <col min="11534" max="11534" width="16" style="6" customWidth="1"/>
    <col min="11535" max="11535" width="15.7109375" style="6" customWidth="1"/>
    <col min="11536" max="11536" width="17.42578125" style="6" customWidth="1"/>
    <col min="11537" max="11537" width="10.7109375" style="6" customWidth="1"/>
    <col min="11538" max="11538" width="13" style="6" customWidth="1"/>
    <col min="11539" max="11539" width="16.7109375" style="6" customWidth="1"/>
    <col min="11540" max="11780" width="9.140625" style="6"/>
    <col min="11781" max="11781" width="35.5703125" style="6" customWidth="1"/>
    <col min="11782" max="11782" width="23" style="6" customWidth="1"/>
    <col min="11783" max="11783" width="17.7109375" style="6" customWidth="1"/>
    <col min="11784" max="11784" width="18.42578125" style="6" customWidth="1"/>
    <col min="11785" max="11786" width="13.140625" style="6" customWidth="1"/>
    <col min="11787" max="11787" width="10.7109375" style="6" customWidth="1"/>
    <col min="11788" max="11788" width="40.85546875" style="6" customWidth="1"/>
    <col min="11789" max="11789" width="34.140625" style="6" customWidth="1"/>
    <col min="11790" max="11790" width="16" style="6" customWidth="1"/>
    <col min="11791" max="11791" width="15.7109375" style="6" customWidth="1"/>
    <col min="11792" max="11792" width="17.42578125" style="6" customWidth="1"/>
    <col min="11793" max="11793" width="10.7109375" style="6" customWidth="1"/>
    <col min="11794" max="11794" width="13" style="6" customWidth="1"/>
    <col min="11795" max="11795" width="16.7109375" style="6" customWidth="1"/>
    <col min="11796" max="12036" width="9.140625" style="6"/>
    <col min="12037" max="12037" width="35.5703125" style="6" customWidth="1"/>
    <col min="12038" max="12038" width="23" style="6" customWidth="1"/>
    <col min="12039" max="12039" width="17.7109375" style="6" customWidth="1"/>
    <col min="12040" max="12040" width="18.42578125" style="6" customWidth="1"/>
    <col min="12041" max="12042" width="13.140625" style="6" customWidth="1"/>
    <col min="12043" max="12043" width="10.7109375" style="6" customWidth="1"/>
    <col min="12044" max="12044" width="40.85546875" style="6" customWidth="1"/>
    <col min="12045" max="12045" width="34.140625" style="6" customWidth="1"/>
    <col min="12046" max="12046" width="16" style="6" customWidth="1"/>
    <col min="12047" max="12047" width="15.7109375" style="6" customWidth="1"/>
    <col min="12048" max="12048" width="17.42578125" style="6" customWidth="1"/>
    <col min="12049" max="12049" width="10.7109375" style="6" customWidth="1"/>
    <col min="12050" max="12050" width="13" style="6" customWidth="1"/>
    <col min="12051" max="12051" width="16.7109375" style="6" customWidth="1"/>
    <col min="12052" max="12292" width="9.140625" style="6"/>
    <col min="12293" max="12293" width="35.5703125" style="6" customWidth="1"/>
    <col min="12294" max="12294" width="23" style="6" customWidth="1"/>
    <col min="12295" max="12295" width="17.7109375" style="6" customWidth="1"/>
    <col min="12296" max="12296" width="18.42578125" style="6" customWidth="1"/>
    <col min="12297" max="12298" width="13.140625" style="6" customWidth="1"/>
    <col min="12299" max="12299" width="10.7109375" style="6" customWidth="1"/>
    <col min="12300" max="12300" width="40.85546875" style="6" customWidth="1"/>
    <col min="12301" max="12301" width="34.140625" style="6" customWidth="1"/>
    <col min="12302" max="12302" width="16" style="6" customWidth="1"/>
    <col min="12303" max="12303" width="15.7109375" style="6" customWidth="1"/>
    <col min="12304" max="12304" width="17.42578125" style="6" customWidth="1"/>
    <col min="12305" max="12305" width="10.7109375" style="6" customWidth="1"/>
    <col min="12306" max="12306" width="13" style="6" customWidth="1"/>
    <col min="12307" max="12307" width="16.7109375" style="6" customWidth="1"/>
    <col min="12308" max="12548" width="9.140625" style="6"/>
    <col min="12549" max="12549" width="35.5703125" style="6" customWidth="1"/>
    <col min="12550" max="12550" width="23" style="6" customWidth="1"/>
    <col min="12551" max="12551" width="17.7109375" style="6" customWidth="1"/>
    <col min="12552" max="12552" width="18.42578125" style="6" customWidth="1"/>
    <col min="12553" max="12554" width="13.140625" style="6" customWidth="1"/>
    <col min="12555" max="12555" width="10.7109375" style="6" customWidth="1"/>
    <col min="12556" max="12556" width="40.85546875" style="6" customWidth="1"/>
    <col min="12557" max="12557" width="34.140625" style="6" customWidth="1"/>
    <col min="12558" max="12558" width="16" style="6" customWidth="1"/>
    <col min="12559" max="12559" width="15.7109375" style="6" customWidth="1"/>
    <col min="12560" max="12560" width="17.42578125" style="6" customWidth="1"/>
    <col min="12561" max="12561" width="10.7109375" style="6" customWidth="1"/>
    <col min="12562" max="12562" width="13" style="6" customWidth="1"/>
    <col min="12563" max="12563" width="16.7109375" style="6" customWidth="1"/>
    <col min="12564" max="12804" width="9.140625" style="6"/>
    <col min="12805" max="12805" width="35.5703125" style="6" customWidth="1"/>
    <col min="12806" max="12806" width="23" style="6" customWidth="1"/>
    <col min="12807" max="12807" width="17.7109375" style="6" customWidth="1"/>
    <col min="12808" max="12808" width="18.42578125" style="6" customWidth="1"/>
    <col min="12809" max="12810" width="13.140625" style="6" customWidth="1"/>
    <col min="12811" max="12811" width="10.7109375" style="6" customWidth="1"/>
    <col min="12812" max="12812" width="40.85546875" style="6" customWidth="1"/>
    <col min="12813" max="12813" width="34.140625" style="6" customWidth="1"/>
    <col min="12814" max="12814" width="16" style="6" customWidth="1"/>
    <col min="12815" max="12815" width="15.7109375" style="6" customWidth="1"/>
    <col min="12816" max="12816" width="17.42578125" style="6" customWidth="1"/>
    <col min="12817" max="12817" width="10.7109375" style="6" customWidth="1"/>
    <col min="12818" max="12818" width="13" style="6" customWidth="1"/>
    <col min="12819" max="12819" width="16.7109375" style="6" customWidth="1"/>
    <col min="12820" max="13060" width="9.140625" style="6"/>
    <col min="13061" max="13061" width="35.5703125" style="6" customWidth="1"/>
    <col min="13062" max="13062" width="23" style="6" customWidth="1"/>
    <col min="13063" max="13063" width="17.7109375" style="6" customWidth="1"/>
    <col min="13064" max="13064" width="18.42578125" style="6" customWidth="1"/>
    <col min="13065" max="13066" width="13.140625" style="6" customWidth="1"/>
    <col min="13067" max="13067" width="10.7109375" style="6" customWidth="1"/>
    <col min="13068" max="13068" width="40.85546875" style="6" customWidth="1"/>
    <col min="13069" max="13069" width="34.140625" style="6" customWidth="1"/>
    <col min="13070" max="13070" width="16" style="6" customWidth="1"/>
    <col min="13071" max="13071" width="15.7109375" style="6" customWidth="1"/>
    <col min="13072" max="13072" width="17.42578125" style="6" customWidth="1"/>
    <col min="13073" max="13073" width="10.7109375" style="6" customWidth="1"/>
    <col min="13074" max="13074" width="13" style="6" customWidth="1"/>
    <col min="13075" max="13075" width="16.7109375" style="6" customWidth="1"/>
    <col min="13076" max="13316" width="9.140625" style="6"/>
    <col min="13317" max="13317" width="35.5703125" style="6" customWidth="1"/>
    <col min="13318" max="13318" width="23" style="6" customWidth="1"/>
    <col min="13319" max="13319" width="17.7109375" style="6" customWidth="1"/>
    <col min="13320" max="13320" width="18.42578125" style="6" customWidth="1"/>
    <col min="13321" max="13322" width="13.140625" style="6" customWidth="1"/>
    <col min="13323" max="13323" width="10.7109375" style="6" customWidth="1"/>
    <col min="13324" max="13324" width="40.85546875" style="6" customWidth="1"/>
    <col min="13325" max="13325" width="34.140625" style="6" customWidth="1"/>
    <col min="13326" max="13326" width="16" style="6" customWidth="1"/>
    <col min="13327" max="13327" width="15.7109375" style="6" customWidth="1"/>
    <col min="13328" max="13328" width="17.42578125" style="6" customWidth="1"/>
    <col min="13329" max="13329" width="10.7109375" style="6" customWidth="1"/>
    <col min="13330" max="13330" width="13" style="6" customWidth="1"/>
    <col min="13331" max="13331" width="16.7109375" style="6" customWidth="1"/>
    <col min="13332" max="13572" width="9.140625" style="6"/>
    <col min="13573" max="13573" width="35.5703125" style="6" customWidth="1"/>
    <col min="13574" max="13574" width="23" style="6" customWidth="1"/>
    <col min="13575" max="13575" width="17.7109375" style="6" customWidth="1"/>
    <col min="13576" max="13576" width="18.42578125" style="6" customWidth="1"/>
    <col min="13577" max="13578" width="13.140625" style="6" customWidth="1"/>
    <col min="13579" max="13579" width="10.7109375" style="6" customWidth="1"/>
    <col min="13580" max="13580" width="40.85546875" style="6" customWidth="1"/>
    <col min="13581" max="13581" width="34.140625" style="6" customWidth="1"/>
    <col min="13582" max="13582" width="16" style="6" customWidth="1"/>
    <col min="13583" max="13583" width="15.7109375" style="6" customWidth="1"/>
    <col min="13584" max="13584" width="17.42578125" style="6" customWidth="1"/>
    <col min="13585" max="13585" width="10.7109375" style="6" customWidth="1"/>
    <col min="13586" max="13586" width="13" style="6" customWidth="1"/>
    <col min="13587" max="13587" width="16.7109375" style="6" customWidth="1"/>
    <col min="13588" max="13828" width="9.140625" style="6"/>
    <col min="13829" max="13829" width="35.5703125" style="6" customWidth="1"/>
    <col min="13830" max="13830" width="23" style="6" customWidth="1"/>
    <col min="13831" max="13831" width="17.7109375" style="6" customWidth="1"/>
    <col min="13832" max="13832" width="18.42578125" style="6" customWidth="1"/>
    <col min="13833" max="13834" width="13.140625" style="6" customWidth="1"/>
    <col min="13835" max="13835" width="10.7109375" style="6" customWidth="1"/>
    <col min="13836" max="13836" width="40.85546875" style="6" customWidth="1"/>
    <col min="13837" max="13837" width="34.140625" style="6" customWidth="1"/>
    <col min="13838" max="13838" width="16" style="6" customWidth="1"/>
    <col min="13839" max="13839" width="15.7109375" style="6" customWidth="1"/>
    <col min="13840" max="13840" width="17.42578125" style="6" customWidth="1"/>
    <col min="13841" max="13841" width="10.7109375" style="6" customWidth="1"/>
    <col min="13842" max="13842" width="13" style="6" customWidth="1"/>
    <col min="13843" max="13843" width="16.7109375" style="6" customWidth="1"/>
    <col min="13844" max="14084" width="9.140625" style="6"/>
    <col min="14085" max="14085" width="35.5703125" style="6" customWidth="1"/>
    <col min="14086" max="14086" width="23" style="6" customWidth="1"/>
    <col min="14087" max="14087" width="17.7109375" style="6" customWidth="1"/>
    <col min="14088" max="14088" width="18.42578125" style="6" customWidth="1"/>
    <col min="14089" max="14090" width="13.140625" style="6" customWidth="1"/>
    <col min="14091" max="14091" width="10.7109375" style="6" customWidth="1"/>
    <col min="14092" max="14092" width="40.85546875" style="6" customWidth="1"/>
    <col min="14093" max="14093" width="34.140625" style="6" customWidth="1"/>
    <col min="14094" max="14094" width="16" style="6" customWidth="1"/>
    <col min="14095" max="14095" width="15.7109375" style="6" customWidth="1"/>
    <col min="14096" max="14096" width="17.42578125" style="6" customWidth="1"/>
    <col min="14097" max="14097" width="10.7109375" style="6" customWidth="1"/>
    <col min="14098" max="14098" width="13" style="6" customWidth="1"/>
    <col min="14099" max="14099" width="16.7109375" style="6" customWidth="1"/>
    <col min="14100" max="14340" width="9.140625" style="6"/>
    <col min="14341" max="14341" width="35.5703125" style="6" customWidth="1"/>
    <col min="14342" max="14342" width="23" style="6" customWidth="1"/>
    <col min="14343" max="14343" width="17.7109375" style="6" customWidth="1"/>
    <col min="14344" max="14344" width="18.42578125" style="6" customWidth="1"/>
    <col min="14345" max="14346" width="13.140625" style="6" customWidth="1"/>
    <col min="14347" max="14347" width="10.7109375" style="6" customWidth="1"/>
    <col min="14348" max="14348" width="40.85546875" style="6" customWidth="1"/>
    <col min="14349" max="14349" width="34.140625" style="6" customWidth="1"/>
    <col min="14350" max="14350" width="16" style="6" customWidth="1"/>
    <col min="14351" max="14351" width="15.7109375" style="6" customWidth="1"/>
    <col min="14352" max="14352" width="17.42578125" style="6" customWidth="1"/>
    <col min="14353" max="14353" width="10.7109375" style="6" customWidth="1"/>
    <col min="14354" max="14354" width="13" style="6" customWidth="1"/>
    <col min="14355" max="14355" width="16.7109375" style="6" customWidth="1"/>
    <col min="14356" max="14596" width="9.140625" style="6"/>
    <col min="14597" max="14597" width="35.5703125" style="6" customWidth="1"/>
    <col min="14598" max="14598" width="23" style="6" customWidth="1"/>
    <col min="14599" max="14599" width="17.7109375" style="6" customWidth="1"/>
    <col min="14600" max="14600" width="18.42578125" style="6" customWidth="1"/>
    <col min="14601" max="14602" width="13.140625" style="6" customWidth="1"/>
    <col min="14603" max="14603" width="10.7109375" style="6" customWidth="1"/>
    <col min="14604" max="14604" width="40.85546875" style="6" customWidth="1"/>
    <col min="14605" max="14605" width="34.140625" style="6" customWidth="1"/>
    <col min="14606" max="14606" width="16" style="6" customWidth="1"/>
    <col min="14607" max="14607" width="15.7109375" style="6" customWidth="1"/>
    <col min="14608" max="14608" width="17.42578125" style="6" customWidth="1"/>
    <col min="14609" max="14609" width="10.7109375" style="6" customWidth="1"/>
    <col min="14610" max="14610" width="13" style="6" customWidth="1"/>
    <col min="14611" max="14611" width="16.7109375" style="6" customWidth="1"/>
    <col min="14612" max="14852" width="9.140625" style="6"/>
    <col min="14853" max="14853" width="35.5703125" style="6" customWidth="1"/>
    <col min="14854" max="14854" width="23" style="6" customWidth="1"/>
    <col min="14855" max="14855" width="17.7109375" style="6" customWidth="1"/>
    <col min="14856" max="14856" width="18.42578125" style="6" customWidth="1"/>
    <col min="14857" max="14858" width="13.140625" style="6" customWidth="1"/>
    <col min="14859" max="14859" width="10.7109375" style="6" customWidth="1"/>
    <col min="14860" max="14860" width="40.85546875" style="6" customWidth="1"/>
    <col min="14861" max="14861" width="34.140625" style="6" customWidth="1"/>
    <col min="14862" max="14862" width="16" style="6" customWidth="1"/>
    <col min="14863" max="14863" width="15.7109375" style="6" customWidth="1"/>
    <col min="14864" max="14864" width="17.42578125" style="6" customWidth="1"/>
    <col min="14865" max="14865" width="10.7109375" style="6" customWidth="1"/>
    <col min="14866" max="14866" width="13" style="6" customWidth="1"/>
    <col min="14867" max="14867" width="16.7109375" style="6" customWidth="1"/>
    <col min="14868" max="15108" width="9.140625" style="6"/>
    <col min="15109" max="15109" width="35.5703125" style="6" customWidth="1"/>
    <col min="15110" max="15110" width="23" style="6" customWidth="1"/>
    <col min="15111" max="15111" width="17.7109375" style="6" customWidth="1"/>
    <col min="15112" max="15112" width="18.42578125" style="6" customWidth="1"/>
    <col min="15113" max="15114" width="13.140625" style="6" customWidth="1"/>
    <col min="15115" max="15115" width="10.7109375" style="6" customWidth="1"/>
    <col min="15116" max="15116" width="40.85546875" style="6" customWidth="1"/>
    <col min="15117" max="15117" width="34.140625" style="6" customWidth="1"/>
    <col min="15118" max="15118" width="16" style="6" customWidth="1"/>
    <col min="15119" max="15119" width="15.7109375" style="6" customWidth="1"/>
    <col min="15120" max="15120" width="17.42578125" style="6" customWidth="1"/>
    <col min="15121" max="15121" width="10.7109375" style="6" customWidth="1"/>
    <col min="15122" max="15122" width="13" style="6" customWidth="1"/>
    <col min="15123" max="15123" width="16.7109375" style="6" customWidth="1"/>
    <col min="15124" max="15364" width="9.140625" style="6"/>
    <col min="15365" max="15365" width="35.5703125" style="6" customWidth="1"/>
    <col min="15366" max="15366" width="23" style="6" customWidth="1"/>
    <col min="15367" max="15367" width="17.7109375" style="6" customWidth="1"/>
    <col min="15368" max="15368" width="18.42578125" style="6" customWidth="1"/>
    <col min="15369" max="15370" width="13.140625" style="6" customWidth="1"/>
    <col min="15371" max="15371" width="10.7109375" style="6" customWidth="1"/>
    <col min="15372" max="15372" width="40.85546875" style="6" customWidth="1"/>
    <col min="15373" max="15373" width="34.140625" style="6" customWidth="1"/>
    <col min="15374" max="15374" width="16" style="6" customWidth="1"/>
    <col min="15375" max="15375" width="15.7109375" style="6" customWidth="1"/>
    <col min="15376" max="15376" width="17.42578125" style="6" customWidth="1"/>
    <col min="15377" max="15377" width="10.7109375" style="6" customWidth="1"/>
    <col min="15378" max="15378" width="13" style="6" customWidth="1"/>
    <col min="15379" max="15379" width="16.7109375" style="6" customWidth="1"/>
    <col min="15380" max="15620" width="9.140625" style="6"/>
    <col min="15621" max="15621" width="35.5703125" style="6" customWidth="1"/>
    <col min="15622" max="15622" width="23" style="6" customWidth="1"/>
    <col min="15623" max="15623" width="17.7109375" style="6" customWidth="1"/>
    <col min="15624" max="15624" width="18.42578125" style="6" customWidth="1"/>
    <col min="15625" max="15626" width="13.140625" style="6" customWidth="1"/>
    <col min="15627" max="15627" width="10.7109375" style="6" customWidth="1"/>
    <col min="15628" max="15628" width="40.85546875" style="6" customWidth="1"/>
    <col min="15629" max="15629" width="34.140625" style="6" customWidth="1"/>
    <col min="15630" max="15630" width="16" style="6" customWidth="1"/>
    <col min="15631" max="15631" width="15.7109375" style="6" customWidth="1"/>
    <col min="15632" max="15632" width="17.42578125" style="6" customWidth="1"/>
    <col min="15633" max="15633" width="10.7109375" style="6" customWidth="1"/>
    <col min="15634" max="15634" width="13" style="6" customWidth="1"/>
    <col min="15635" max="15635" width="16.7109375" style="6" customWidth="1"/>
    <col min="15636" max="15876" width="9.140625" style="6"/>
    <col min="15877" max="15877" width="35.5703125" style="6" customWidth="1"/>
    <col min="15878" max="15878" width="23" style="6" customWidth="1"/>
    <col min="15879" max="15879" width="17.7109375" style="6" customWidth="1"/>
    <col min="15880" max="15880" width="18.42578125" style="6" customWidth="1"/>
    <col min="15881" max="15882" width="13.140625" style="6" customWidth="1"/>
    <col min="15883" max="15883" width="10.7109375" style="6" customWidth="1"/>
    <col min="15884" max="15884" width="40.85546875" style="6" customWidth="1"/>
    <col min="15885" max="15885" width="34.140625" style="6" customWidth="1"/>
    <col min="15886" max="15886" width="16" style="6" customWidth="1"/>
    <col min="15887" max="15887" width="15.7109375" style="6" customWidth="1"/>
    <col min="15888" max="15888" width="17.42578125" style="6" customWidth="1"/>
    <col min="15889" max="15889" width="10.7109375" style="6" customWidth="1"/>
    <col min="15890" max="15890" width="13" style="6" customWidth="1"/>
    <col min="15891" max="15891" width="16.7109375" style="6" customWidth="1"/>
    <col min="15892" max="16132" width="9.140625" style="6"/>
    <col min="16133" max="16133" width="35.5703125" style="6" customWidth="1"/>
    <col min="16134" max="16134" width="23" style="6" customWidth="1"/>
    <col min="16135" max="16135" width="17.7109375" style="6" customWidth="1"/>
    <col min="16136" max="16136" width="18.42578125" style="6" customWidth="1"/>
    <col min="16137" max="16138" width="13.140625" style="6" customWidth="1"/>
    <col min="16139" max="16139" width="10.7109375" style="6" customWidth="1"/>
    <col min="16140" max="16140" width="40.85546875" style="6" customWidth="1"/>
    <col min="16141" max="16141" width="34.140625" style="6" customWidth="1"/>
    <col min="16142" max="16142" width="16" style="6" customWidth="1"/>
    <col min="16143" max="16143" width="15.7109375" style="6" customWidth="1"/>
    <col min="16144" max="16144" width="17.42578125" style="6" customWidth="1"/>
    <col min="16145" max="16145" width="10.7109375" style="6" customWidth="1"/>
    <col min="16146" max="16146" width="13" style="6" customWidth="1"/>
    <col min="16147" max="16147" width="16.7109375" style="6" customWidth="1"/>
    <col min="16148" max="16384" width="9.140625" style="6"/>
  </cols>
  <sheetData>
    <row r="1" spans="1:32" s="9" customFormat="1" ht="41.25" customHeight="1" x14ac:dyDescent="0.3">
      <c r="A1" s="682" t="s">
        <v>70</v>
      </c>
      <c r="B1" s="682"/>
      <c r="C1" s="682"/>
      <c r="D1" s="682"/>
      <c r="E1" s="682"/>
      <c r="F1" s="682"/>
      <c r="G1" s="682"/>
      <c r="H1" s="682"/>
      <c r="I1" s="682"/>
      <c r="J1" s="682"/>
      <c r="K1" s="682"/>
      <c r="L1" s="682"/>
      <c r="M1" s="682"/>
      <c r="N1" s="682"/>
      <c r="O1" s="682"/>
      <c r="P1" s="682"/>
      <c r="Q1" s="372"/>
    </row>
    <row r="2" spans="1:32" s="9" customFormat="1" ht="24" customHeight="1" x14ac:dyDescent="0.3">
      <c r="A2" s="677" t="s">
        <v>748</v>
      </c>
      <c r="B2" s="678"/>
      <c r="C2" s="678"/>
      <c r="D2" s="678"/>
      <c r="E2" s="678"/>
      <c r="F2" s="679"/>
      <c r="G2" s="309"/>
      <c r="H2" s="459"/>
      <c r="I2" s="459"/>
      <c r="J2" s="459"/>
      <c r="K2" s="677" t="s">
        <v>749</v>
      </c>
      <c r="L2" s="678"/>
      <c r="M2" s="678"/>
      <c r="N2" s="678"/>
      <c r="O2" s="678"/>
      <c r="P2" s="679"/>
      <c r="Q2" s="373"/>
    </row>
    <row r="3" spans="1:32" ht="23.25" customHeight="1" x14ac:dyDescent="0.3">
      <c r="A3" s="9"/>
      <c r="B3" s="9"/>
      <c r="C3" s="9"/>
      <c r="D3" s="9"/>
      <c r="E3" s="9"/>
      <c r="F3" s="9"/>
      <c r="G3" s="9"/>
      <c r="H3" s="9"/>
      <c r="I3" s="9"/>
      <c r="J3" s="9"/>
      <c r="K3" s="9"/>
      <c r="L3" s="9"/>
      <c r="M3" s="9"/>
      <c r="N3" s="9"/>
      <c r="O3" s="9"/>
      <c r="P3" s="9"/>
      <c r="Q3" s="9"/>
    </row>
    <row r="4" spans="1:32" s="11" customFormat="1" ht="65.25" customHeight="1" x14ac:dyDescent="0.25">
      <c r="A4" s="683" t="s">
        <v>53</v>
      </c>
      <c r="B4" s="680" t="s">
        <v>54</v>
      </c>
      <c r="C4" s="680"/>
      <c r="D4" s="90" t="s">
        <v>265</v>
      </c>
      <c r="E4" s="90" t="s">
        <v>266</v>
      </c>
      <c r="F4" s="90" t="s">
        <v>59</v>
      </c>
      <c r="G4" s="41"/>
      <c r="H4" s="41"/>
      <c r="I4" s="41"/>
      <c r="J4" s="41"/>
      <c r="K4" s="683" t="s">
        <v>53</v>
      </c>
      <c r="L4" s="680" t="s">
        <v>55</v>
      </c>
      <c r="M4" s="680"/>
      <c r="N4" s="211" t="s">
        <v>265</v>
      </c>
      <c r="O4" s="211" t="s">
        <v>266</v>
      </c>
      <c r="P4" s="211" t="s">
        <v>194</v>
      </c>
      <c r="Q4" s="374"/>
      <c r="T4" s="693"/>
      <c r="U4" s="458"/>
      <c r="V4" s="458"/>
      <c r="W4" s="458"/>
      <c r="X4" s="458"/>
      <c r="Y4" s="458"/>
      <c r="Z4" s="458"/>
      <c r="AA4" s="458"/>
      <c r="AB4" s="458"/>
      <c r="AC4" s="458"/>
    </row>
    <row r="5" spans="1:32" s="11" customFormat="1" ht="37.9" customHeight="1" x14ac:dyDescent="0.25">
      <c r="A5" s="683"/>
      <c r="B5" s="684" t="s">
        <v>267</v>
      </c>
      <c r="C5" s="684"/>
      <c r="D5" s="311">
        <f>'Anexo 1. Fontes e Aplicações'!C12</f>
        <v>10121554.399999999</v>
      </c>
      <c r="E5" s="311">
        <f>'Anexo 1. Fontes e Aplicações'!F12</f>
        <v>10220993.389999999</v>
      </c>
      <c r="F5" s="52">
        <f>IFERROR(E5/D5*100-100,0)</f>
        <v>0.98244781453726659</v>
      </c>
      <c r="G5" s="43" t="b">
        <f>D5=[6]FORM.3!E5</f>
        <v>1</v>
      </c>
      <c r="H5" s="386">
        <f>'Anexo 1. Fontes e Aplicações'!F12</f>
        <v>10220993.389999999</v>
      </c>
      <c r="I5" s="386" t="b">
        <f>H5=E5</f>
        <v>1</v>
      </c>
      <c r="J5" s="476"/>
      <c r="K5" s="683"/>
      <c r="L5" s="685" t="s">
        <v>76</v>
      </c>
      <c r="M5" s="685"/>
      <c r="N5" s="237">
        <v>5964158.71</v>
      </c>
      <c r="O5" s="238">
        <f>'Anexo 3. Elemento de Despesas'!F46</f>
        <v>5729599.940876388</v>
      </c>
      <c r="P5" s="44">
        <f>IFERROR(O5/N5*100-100,0)</f>
        <v>-3.9328056232026682</v>
      </c>
      <c r="Q5" s="375" t="b">
        <f>N5=[6]FORM.3!L5</f>
        <v>1</v>
      </c>
      <c r="R5" s="7">
        <f>'Anexo 3. Elemento de Despesas'!F46</f>
        <v>5729599.940876388</v>
      </c>
      <c r="S5" s="386" t="b">
        <f>R5=O5</f>
        <v>1</v>
      </c>
      <c r="T5" s="693"/>
      <c r="U5" s="458"/>
      <c r="V5" s="458"/>
      <c r="W5" s="458"/>
      <c r="X5" s="458"/>
      <c r="Y5" s="458"/>
      <c r="Z5" s="458"/>
      <c r="AA5" s="458"/>
      <c r="AB5" s="458"/>
      <c r="AC5" s="458"/>
    </row>
    <row r="6" spans="1:32" s="11" customFormat="1" ht="38.450000000000003" customHeight="1" x14ac:dyDescent="0.25">
      <c r="A6" s="683"/>
      <c r="B6" s="686" t="s">
        <v>56</v>
      </c>
      <c r="C6" s="686"/>
      <c r="D6" s="312">
        <f>'Anexo 1. Fontes e Aplicações'!C24</f>
        <v>0</v>
      </c>
      <c r="E6" s="311">
        <f>'Anexo 1. Fontes e Aplicações'!F24</f>
        <v>0</v>
      </c>
      <c r="F6" s="52">
        <f>IFERROR(E6/D6*100-100,0)</f>
        <v>0</v>
      </c>
      <c r="G6" s="43" t="b">
        <f>D6=[6]FORM.3!E6</f>
        <v>1</v>
      </c>
      <c r="H6" s="386"/>
      <c r="I6" s="386"/>
      <c r="J6" s="476"/>
      <c r="K6" s="683"/>
      <c r="L6" s="685" t="s">
        <v>71</v>
      </c>
      <c r="M6" s="685"/>
      <c r="N6" s="239">
        <v>1062066.25</v>
      </c>
      <c r="O6" s="239">
        <v>981248.02</v>
      </c>
      <c r="P6" s="44">
        <f t="shared" ref="P6:P7" si="0">IFERROR(O6/N6*100-100,0)</f>
        <v>-7.6095281250110389</v>
      </c>
      <c r="Q6" s="375" t="b">
        <f>N6=[6]FORM.3!L6</f>
        <v>1</v>
      </c>
      <c r="R6" s="461">
        <f>407524.47+543729.34+19431.28+10562.93</f>
        <v>981248.02</v>
      </c>
      <c r="S6" s="386" t="b">
        <f t="shared" ref="S6:S7" si="1">R6=O6</f>
        <v>1</v>
      </c>
      <c r="T6" s="693"/>
      <c r="U6" s="458"/>
      <c r="V6" s="458"/>
      <c r="W6" s="458"/>
      <c r="X6" s="458"/>
      <c r="Y6" s="458"/>
      <c r="Z6" s="458"/>
      <c r="AA6" s="458"/>
      <c r="AB6" s="458"/>
      <c r="AC6" s="458"/>
    </row>
    <row r="7" spans="1:32" s="11" customFormat="1" ht="39" customHeight="1" x14ac:dyDescent="0.25">
      <c r="A7" s="683"/>
      <c r="B7" s="687" t="s">
        <v>72</v>
      </c>
      <c r="C7" s="687"/>
      <c r="D7" s="313">
        <f>SUM(D5:D6)</f>
        <v>10121554.399999999</v>
      </c>
      <c r="E7" s="313">
        <f>SUM(E5:E6)</f>
        <v>10220993.389999999</v>
      </c>
      <c r="F7" s="91">
        <f>IFERROR(E7/D7*100-100,0)</f>
        <v>0.98244781453726659</v>
      </c>
      <c r="G7" s="43" t="b">
        <f>D7=[6]FORM.3!E7</f>
        <v>1</v>
      </c>
      <c r="H7" s="386"/>
      <c r="I7" s="386"/>
      <c r="J7" s="476"/>
      <c r="K7" s="683"/>
      <c r="L7" s="685" t="s">
        <v>73</v>
      </c>
      <c r="M7" s="685"/>
      <c r="N7" s="240">
        <f>'Anexo 1. Fontes e Aplicações'!C11</f>
        <v>10359138.999999998</v>
      </c>
      <c r="O7" s="240">
        <f>'Anexo 1. Fontes e Aplicações'!F11</f>
        <v>10610152.68</v>
      </c>
      <c r="P7" s="44">
        <f t="shared" si="0"/>
        <v>2.4231133494782</v>
      </c>
      <c r="Q7" s="375" t="b">
        <f>N7=[6]FORM.3!L7</f>
        <v>1</v>
      </c>
      <c r="R7" s="11">
        <f>'Anexo 1. Fontes e Aplicações'!F11</f>
        <v>10610152.68</v>
      </c>
      <c r="S7" s="386" t="b">
        <f t="shared" si="1"/>
        <v>1</v>
      </c>
      <c r="T7" s="693"/>
      <c r="U7" s="458"/>
      <c r="V7" s="458"/>
      <c r="W7" s="458"/>
      <c r="X7" s="458"/>
      <c r="Y7" s="458"/>
      <c r="Z7" s="458"/>
      <c r="AA7" s="458"/>
      <c r="AB7" s="458"/>
      <c r="AC7" s="458"/>
    </row>
    <row r="8" spans="1:32" s="11" customFormat="1" ht="38.25" customHeight="1" x14ac:dyDescent="0.25">
      <c r="A8" s="683"/>
      <c r="B8" s="686" t="s">
        <v>74</v>
      </c>
      <c r="C8" s="686"/>
      <c r="D8" s="314">
        <f>'Anexo 1. Fontes e Aplicações'!C34</f>
        <v>257042.4</v>
      </c>
      <c r="E8" s="314">
        <f>'Anexo 1. Fontes e Aplicações'!F34</f>
        <v>217058.38</v>
      </c>
      <c r="F8" s="42">
        <f>IFERROR(E8/D8*100-100,0)</f>
        <v>-15.555418094446665</v>
      </c>
      <c r="G8" s="43" t="b">
        <f>D8=[6]FORM.3!E8</f>
        <v>1</v>
      </c>
      <c r="H8" s="386">
        <f>'Quadro Geral'!M26</f>
        <v>217058.38</v>
      </c>
      <c r="I8" s="386" t="b">
        <f>E8=H8</f>
        <v>1</v>
      </c>
      <c r="J8" s="476"/>
      <c r="K8" s="688"/>
      <c r="L8" s="688"/>
      <c r="M8" s="41"/>
      <c r="N8" s="45"/>
      <c r="O8" s="48"/>
      <c r="P8" s="95"/>
      <c r="Q8" s="95"/>
      <c r="R8" s="96"/>
      <c r="S8" s="95"/>
    </row>
    <row r="9" spans="1:32" s="11" customFormat="1" ht="28.15" customHeight="1" x14ac:dyDescent="0.25">
      <c r="A9" s="683"/>
      <c r="B9" s="694" t="s">
        <v>90</v>
      </c>
      <c r="C9" s="694"/>
      <c r="D9" s="313">
        <f>D7-D8</f>
        <v>9864511.9999999981</v>
      </c>
      <c r="E9" s="313">
        <f>E7-E8</f>
        <v>10003935.009999998</v>
      </c>
      <c r="F9" s="91">
        <f>IFERROR(E9/D9*100-100,0)</f>
        <v>1.4133796988639631</v>
      </c>
      <c r="G9" s="43" t="b">
        <f>D9=[6]FORM.3!E9</f>
        <v>1</v>
      </c>
      <c r="H9" s="386">
        <f>H5-H8</f>
        <v>10003935.009999998</v>
      </c>
      <c r="I9" s="386" t="b">
        <f>H9=E9</f>
        <v>1</v>
      </c>
      <c r="J9" s="476"/>
      <c r="K9" s="47"/>
      <c r="L9" s="47"/>
      <c r="M9" s="41"/>
      <c r="N9" s="45"/>
      <c r="O9" s="48"/>
      <c r="P9" s="45"/>
      <c r="Q9" s="45"/>
      <c r="R9" s="294"/>
      <c r="S9" s="294"/>
      <c r="U9" s="461"/>
    </row>
    <row r="10" spans="1:32" s="13" customFormat="1" ht="18.75" x14ac:dyDescent="0.25">
      <c r="A10" s="49"/>
      <c r="B10" s="50"/>
      <c r="C10" s="50"/>
      <c r="D10" s="315"/>
      <c r="E10" s="315"/>
      <c r="F10" s="45"/>
      <c r="G10" s="46"/>
      <c r="H10" s="386"/>
      <c r="I10" s="386"/>
      <c r="J10" s="476"/>
      <c r="K10" s="47"/>
      <c r="L10" s="47"/>
      <c r="M10" s="41"/>
      <c r="N10" s="45"/>
      <c r="O10" s="48"/>
      <c r="P10" s="45"/>
      <c r="Q10" s="45"/>
      <c r="R10" s="12"/>
      <c r="S10" s="294"/>
      <c r="U10" s="462"/>
    </row>
    <row r="11" spans="1:32" s="11" customFormat="1" ht="50.1" customHeight="1" x14ac:dyDescent="0.25">
      <c r="A11" s="695" t="s">
        <v>81</v>
      </c>
      <c r="B11" s="680" t="s">
        <v>60</v>
      </c>
      <c r="C11" s="680"/>
      <c r="D11" s="316" t="s">
        <v>265</v>
      </c>
      <c r="E11" s="316" t="s">
        <v>266</v>
      </c>
      <c r="F11" s="90" t="s">
        <v>3</v>
      </c>
      <c r="G11" s="46"/>
      <c r="H11" s="386"/>
      <c r="I11" s="386"/>
      <c r="J11" s="476"/>
      <c r="K11" s="680" t="s">
        <v>60</v>
      </c>
      <c r="L11" s="680"/>
      <c r="M11" s="680"/>
      <c r="N11" s="90" t="s">
        <v>265</v>
      </c>
      <c r="O11" s="211" t="s">
        <v>266</v>
      </c>
      <c r="P11" s="211" t="s">
        <v>82</v>
      </c>
      <c r="Q11" s="374"/>
      <c r="R11" s="14"/>
      <c r="S11" s="14"/>
      <c r="U11" s="462"/>
    </row>
    <row r="12" spans="1:32" s="11" customFormat="1" ht="39" customHeight="1" x14ac:dyDescent="0.25">
      <c r="A12" s="696"/>
      <c r="B12" s="723" t="s">
        <v>271</v>
      </c>
      <c r="C12" s="51" t="s">
        <v>57</v>
      </c>
      <c r="D12" s="317">
        <f>'Quadro Geral'!J16+'Quadro Geral'!J27+'Quadro Geral'!J36+'Quadro Geral'!J37</f>
        <v>2258612.7066239477</v>
      </c>
      <c r="E12" s="318">
        <f>'Quadro Geral'!M16+'Quadro Geral'!M27+'Quadro Geral'!M36+'Quadro Geral'!M37</f>
        <v>2310452.2340000002</v>
      </c>
      <c r="F12" s="42">
        <f>IFERROR(E12/D12*100-100,)</f>
        <v>2.2951932938312041</v>
      </c>
      <c r="G12" s="46" t="b">
        <f>D12=[6]FORM.3!E12</f>
        <v>1</v>
      </c>
      <c r="H12" s="386">
        <f>'Quadro Geral'!M16+'Quadro Geral'!M27+'Quadro Geral'!M36+'Quadro Geral'!M37</f>
        <v>2310452.2340000002</v>
      </c>
      <c r="I12" s="386" t="b">
        <f>H12=E12</f>
        <v>1</v>
      </c>
      <c r="J12" s="476"/>
      <c r="K12" s="681" t="s">
        <v>278</v>
      </c>
      <c r="L12" s="681"/>
      <c r="M12" s="51" t="s">
        <v>57</v>
      </c>
      <c r="N12" s="97">
        <f>(N5-N6)</f>
        <v>4902092.46</v>
      </c>
      <c r="O12" s="98">
        <f>(O5-O6)</f>
        <v>4748351.9208763875</v>
      </c>
      <c r="P12" s="44">
        <f>IFERROR(O12/N12*100-100,0)</f>
        <v>-3.1362227534078926</v>
      </c>
      <c r="Q12" s="375" t="b">
        <f>N12=[6]FORM.3!L12</f>
        <v>1</v>
      </c>
      <c r="R12" s="463">
        <f>R5-R6</f>
        <v>4748351.9208763875</v>
      </c>
      <c r="S12" s="386" t="b">
        <f>R12=O12</f>
        <v>1</v>
      </c>
      <c r="T12" s="15"/>
      <c r="U12" s="462"/>
      <c r="V12" s="15"/>
      <c r="W12" s="15"/>
      <c r="X12" s="15"/>
      <c r="Y12" s="15"/>
      <c r="Z12" s="15"/>
      <c r="AA12" s="15"/>
      <c r="AB12" s="15"/>
      <c r="AC12" s="15"/>
      <c r="AD12" s="15"/>
      <c r="AE12" s="15"/>
      <c r="AF12" s="15"/>
    </row>
    <row r="13" spans="1:32" s="11" customFormat="1" ht="39" customHeight="1" x14ac:dyDescent="0.25">
      <c r="A13" s="696"/>
      <c r="B13" s="724"/>
      <c r="C13" s="94" t="s">
        <v>58</v>
      </c>
      <c r="D13" s="319">
        <f>IFERROR(D12/$D$9,0)</f>
        <v>0.22896345066273407</v>
      </c>
      <c r="E13" s="319">
        <f>IFERROR(E12/$E$9,0)</f>
        <v>0.23095434263521877</v>
      </c>
      <c r="F13" s="44">
        <f>(E13-D13)*100</f>
        <v>0.19908919724846985</v>
      </c>
      <c r="G13" s="351" t="b">
        <f>D13=[6]FORM.3!E13</f>
        <v>1</v>
      </c>
      <c r="H13" s="460">
        <f>H12/H9</f>
        <v>0.23095434263521877</v>
      </c>
      <c r="I13" s="386" t="b">
        <f t="shared" ref="I13:I25" si="2">H13=E13</f>
        <v>1</v>
      </c>
      <c r="J13" s="476"/>
      <c r="K13" s="681"/>
      <c r="L13" s="681"/>
      <c r="M13" s="94" t="s">
        <v>58</v>
      </c>
      <c r="N13" s="296">
        <f>IFERROR(N12/N7,)</f>
        <v>0.47321427581964109</v>
      </c>
      <c r="O13" s="296">
        <f>IFERROR(O12/O7,)</f>
        <v>0.44752908502692607</v>
      </c>
      <c r="P13" s="44">
        <f>(O13-N13)*100</f>
        <v>-2.5685190792715029</v>
      </c>
      <c r="Q13" s="375" t="b">
        <f>N13=[6]FORM.3!L13</f>
        <v>1</v>
      </c>
      <c r="R13" s="464">
        <f>R12/R7</f>
        <v>0.44752908502692607</v>
      </c>
      <c r="S13" s="386" t="b">
        <f>R13=O13</f>
        <v>1</v>
      </c>
      <c r="T13" s="15"/>
      <c r="U13" s="462"/>
      <c r="V13" s="15"/>
      <c r="W13" s="15"/>
      <c r="X13" s="15"/>
      <c r="Y13" s="15"/>
      <c r="Z13" s="15"/>
      <c r="AA13" s="15"/>
      <c r="AB13" s="15"/>
      <c r="AC13" s="15"/>
      <c r="AD13" s="15"/>
      <c r="AE13" s="15"/>
      <c r="AF13" s="15"/>
    </row>
    <row r="14" spans="1:32" s="11" customFormat="1" ht="39" customHeight="1" x14ac:dyDescent="0.25">
      <c r="A14" s="696"/>
      <c r="B14" s="721" t="s">
        <v>272</v>
      </c>
      <c r="C14" s="51" t="s">
        <v>57</v>
      </c>
      <c r="D14" s="317">
        <f>'Quadro Geral'!J28+'Quadro Geral'!J35</f>
        <v>1458321.4820307023</v>
      </c>
      <c r="E14" s="318">
        <f>'Quadro Geral'!M28+'Quadro Geral'!M35</f>
        <v>1617155.1065927779</v>
      </c>
      <c r="F14" s="42">
        <f>IFERROR(E14/D14*100-100,)</f>
        <v>10.891537052646356</v>
      </c>
      <c r="G14" s="351" t="b">
        <f>D14=[6]FORM.3!E14</f>
        <v>1</v>
      </c>
      <c r="H14" s="386">
        <f>'Quadro Geral'!M28+'Quadro Geral'!M35</f>
        <v>1617155.1065927779</v>
      </c>
      <c r="I14" s="386" t="b">
        <f t="shared" si="2"/>
        <v>1</v>
      </c>
      <c r="J14" s="476"/>
      <c r="K14" s="698" t="s">
        <v>279</v>
      </c>
      <c r="L14" s="699"/>
      <c r="M14" s="51" t="s">
        <v>57</v>
      </c>
      <c r="N14" s="92">
        <v>119283.17</v>
      </c>
      <c r="O14" s="93">
        <v>119283.17</v>
      </c>
      <c r="P14" s="44">
        <f>IFERROR(O14/N14*100-100,0)</f>
        <v>0</v>
      </c>
      <c r="Q14" s="375" t="b">
        <f>N14=[6]FORM.3!L14</f>
        <v>1</v>
      </c>
      <c r="R14" s="11">
        <f>'Quadro Geral'!M42</f>
        <v>119283.17</v>
      </c>
      <c r="S14" s="386" t="b">
        <f>R14=O14</f>
        <v>1</v>
      </c>
      <c r="U14" s="6"/>
    </row>
    <row r="15" spans="1:32" s="11" customFormat="1" ht="39" customHeight="1" x14ac:dyDescent="0.25">
      <c r="A15" s="696"/>
      <c r="B15" s="722"/>
      <c r="C15" s="94" t="s">
        <v>58</v>
      </c>
      <c r="D15" s="319">
        <f>IFERROR(D14/$D$9,0)</f>
        <v>0.14783513690598202</v>
      </c>
      <c r="E15" s="319">
        <f>IFERROR(E14/$E$9,0)</f>
        <v>0.16165190047478908</v>
      </c>
      <c r="F15" s="44">
        <f>(E15-D15)*100</f>
        <v>1.3816763568807067</v>
      </c>
      <c r="G15" s="351" t="b">
        <f>D15=[6]FORM.3!E15</f>
        <v>1</v>
      </c>
      <c r="H15" s="460">
        <f>H14/H9</f>
        <v>0.16165190047478908</v>
      </c>
      <c r="I15" s="386" t="b">
        <f t="shared" si="2"/>
        <v>1</v>
      </c>
      <c r="J15" s="476"/>
      <c r="K15" s="700"/>
      <c r="L15" s="701"/>
      <c r="M15" s="94" t="s">
        <v>58</v>
      </c>
      <c r="N15" s="296">
        <f>IFERROR(N14/N5,)</f>
        <v>1.9999999295793387E-2</v>
      </c>
      <c r="O15" s="296">
        <f>IFERROR(O14/O5,)</f>
        <v>2.081876068676353E-2</v>
      </c>
      <c r="P15" s="44">
        <f>(O15-N15)*100</f>
        <v>8.1876139097014286E-2</v>
      </c>
      <c r="Q15" s="375" t="b">
        <f>N15=[6]FORM.3!L15</f>
        <v>1</v>
      </c>
      <c r="R15" s="465">
        <f>R14/R5</f>
        <v>2.081876068676353E-2</v>
      </c>
      <c r="S15" s="386" t="b">
        <f>R15=O15</f>
        <v>1</v>
      </c>
    </row>
    <row r="16" spans="1:32" s="11" customFormat="1" ht="39" customHeight="1" x14ac:dyDescent="0.3">
      <c r="A16" s="696"/>
      <c r="B16" s="702" t="s">
        <v>273</v>
      </c>
      <c r="C16" s="51" t="s">
        <v>57</v>
      </c>
      <c r="D16" s="317">
        <f>'Quadro Geral'!J9+'Quadro Geral'!J20+'Quadro Geral'!J21+'Quadro Geral'!J22+'Quadro Geral'!J23+'Quadro Geral'!J24</f>
        <v>884317.07400000002</v>
      </c>
      <c r="E16" s="318">
        <f>'Quadro Geral'!M9+'Quadro Geral'!M20+'Quadro Geral'!M21+'Quadro Geral'!M22+'Quadro Geral'!M23+'Quadro Geral'!M24</f>
        <v>966545.71102138888</v>
      </c>
      <c r="F16" s="42">
        <f>IFERROR(E16/D16*100-100,)</f>
        <v>9.2985468039700834</v>
      </c>
      <c r="G16" s="351" t="b">
        <f>D16=[6]FORM.3!E16</f>
        <v>1</v>
      </c>
      <c r="H16" s="386">
        <f>'Quadro Geral'!M9+'Quadro Geral'!M20+'Quadro Geral'!M21+'Quadro Geral'!M22+'Quadro Geral'!M23+'Quadro Geral'!M24</f>
        <v>966545.71102138888</v>
      </c>
      <c r="I16" s="386" t="b">
        <f t="shared" si="2"/>
        <v>1</v>
      </c>
      <c r="J16" s="476"/>
      <c r="K16" s="9"/>
      <c r="L16" s="9"/>
      <c r="M16" s="9"/>
      <c r="N16" s="9"/>
      <c r="O16" s="272"/>
      <c r="P16" s="9"/>
      <c r="Q16" s="9"/>
    </row>
    <row r="17" spans="1:17" s="11" customFormat="1" ht="39" customHeight="1" x14ac:dyDescent="0.25">
      <c r="A17" s="696"/>
      <c r="B17" s="702"/>
      <c r="C17" s="94" t="s">
        <v>58</v>
      </c>
      <c r="D17" s="319">
        <f>IFERROR(D16/$D$9,0)</f>
        <v>8.9646307288186192E-2</v>
      </c>
      <c r="E17" s="319">
        <f>IFERROR(E16/$E$9,0)</f>
        <v>9.6616552392156038E-2</v>
      </c>
      <c r="F17" s="44">
        <f>(E17-D17)*100</f>
        <v>0.69702451039698465</v>
      </c>
      <c r="G17" s="351" t="b">
        <f>D17=[6]FORM.3!E17</f>
        <v>1</v>
      </c>
      <c r="H17" s="460">
        <f>H16/H9</f>
        <v>9.6616552392156038E-2</v>
      </c>
      <c r="I17" s="386" t="b">
        <f t="shared" si="2"/>
        <v>1</v>
      </c>
      <c r="J17" s="476"/>
      <c r="K17" s="703" t="s">
        <v>269</v>
      </c>
      <c r="L17" s="704"/>
      <c r="M17" s="704"/>
      <c r="N17" s="704"/>
      <c r="O17" s="704"/>
      <c r="P17" s="705"/>
      <c r="Q17" s="357"/>
    </row>
    <row r="18" spans="1:17" s="11" customFormat="1" ht="39" customHeight="1" x14ac:dyDescent="0.25">
      <c r="A18" s="696"/>
      <c r="B18" s="702" t="s">
        <v>274</v>
      </c>
      <c r="C18" s="51" t="s">
        <v>57</v>
      </c>
      <c r="D18" s="317">
        <f>'Quadro Geral'!J12+'Quadro Geral'!J43</f>
        <v>250000</v>
      </c>
      <c r="E18" s="320">
        <f>'Quadro Geral'!M12+'Quadro Geral'!M43+'Quadro Geral'!M46+'Quadro Geral'!M47</f>
        <v>422800</v>
      </c>
      <c r="F18" s="42">
        <f>IFERROR(E18/D18*100-100,)</f>
        <v>69.12</v>
      </c>
      <c r="G18" s="351" t="b">
        <f>D18=[6]FORM.3!E18</f>
        <v>1</v>
      </c>
      <c r="H18" s="386">
        <f>'Quadro Geral'!M12+'Quadro Geral'!M43+'Quadro Geral'!M46+'Quadro Geral'!M47</f>
        <v>422800</v>
      </c>
      <c r="I18" s="386" t="b">
        <f t="shared" si="2"/>
        <v>1</v>
      </c>
      <c r="J18" s="476"/>
      <c r="K18" s="706"/>
      <c r="L18" s="707"/>
      <c r="M18" s="707"/>
      <c r="N18" s="707"/>
      <c r="O18" s="707"/>
      <c r="P18" s="708"/>
      <c r="Q18" s="357"/>
    </row>
    <row r="19" spans="1:17" s="11" customFormat="1" ht="39" customHeight="1" x14ac:dyDescent="0.25">
      <c r="A19" s="696"/>
      <c r="B19" s="702"/>
      <c r="C19" s="94" t="s">
        <v>58</v>
      </c>
      <c r="D19" s="319">
        <f>IFERROR(D18/$D$9,0)</f>
        <v>2.5343372282379508E-2</v>
      </c>
      <c r="E19" s="319">
        <f>IFERROR(E18/$E$9,0)</f>
        <v>4.2263369321908467E-2</v>
      </c>
      <c r="F19" s="44">
        <f>(E19-D19)*100</f>
        <v>1.691999703952896</v>
      </c>
      <c r="G19" s="351" t="b">
        <f>D19=[6]FORM.3!E19</f>
        <v>1</v>
      </c>
      <c r="H19" s="460">
        <f>H18/H9</f>
        <v>4.2263369321908467E-2</v>
      </c>
      <c r="I19" s="386" t="b">
        <f t="shared" si="2"/>
        <v>1</v>
      </c>
      <c r="J19" s="476"/>
      <c r="K19" s="709"/>
      <c r="L19" s="710"/>
      <c r="M19" s="710"/>
      <c r="N19" s="710"/>
      <c r="O19" s="710"/>
      <c r="P19" s="711"/>
      <c r="Q19" s="357"/>
    </row>
    <row r="20" spans="1:17" s="11" customFormat="1" ht="39" customHeight="1" x14ac:dyDescent="0.25">
      <c r="A20" s="696"/>
      <c r="B20" s="702" t="s">
        <v>275</v>
      </c>
      <c r="C20" s="51" t="s">
        <v>57</v>
      </c>
      <c r="D20" s="317">
        <f>'Quadro Geral'!J9+'Quadro Geral'!J12+'Quadro Geral'!J13+'Quadro Geral'!J20+'Quadro Geral'!J21+'Quadro Geral'!J22+'Quadro Geral'!J23+'Quadro Geral'!J24+'Quadro Geral'!J30+'Quadro Geral'!J31+'Quadro Geral'!J34+'Quadro Geral'!J39+'Quadro Geral'!J43+'Quadro Geral'!J45+'Quadro Geral'!J46+'Quadro Geral'!J47</f>
        <v>2819044.0000000005</v>
      </c>
      <c r="E20" s="317">
        <f>'Quadro Geral'!M9+'Quadro Geral'!M12+'Quadro Geral'!M13+'Quadro Geral'!M20+'Quadro Geral'!M21+'Quadro Geral'!M22+'Quadro Geral'!M23+'Quadro Geral'!M24+'Quadro Geral'!M30+'Quadro Geral'!M31+'Quadro Geral'!M34+'Quadro Geral'!M39+'Quadro Geral'!M43+'Quadro Geral'!M45+'Quadro Geral'!M46+'Quadro Geral'!M47</f>
        <v>2839979.6790016666</v>
      </c>
      <c r="F20" s="42">
        <f>IFERROR(E20/D20*100-100,)</f>
        <v>0.74265172880119223</v>
      </c>
      <c r="G20" s="351" t="b">
        <f>D20=[6]FORM.3!E20</f>
        <v>1</v>
      </c>
      <c r="H20" s="386">
        <f>'Quadro Geral'!M9+'Quadro Geral'!M12+'Quadro Geral'!M13+'Quadro Geral'!M20+'Quadro Geral'!M21+'Quadro Geral'!M22+'Quadro Geral'!M23+'Quadro Geral'!M24+'Quadro Geral'!M30+'Quadro Geral'!M31+'Quadro Geral'!M34+'Quadro Geral'!M39+'Quadro Geral'!M43+'Quadro Geral'!M45+'Quadro Geral'!M46+'Quadro Geral'!M47</f>
        <v>2839979.6790016666</v>
      </c>
      <c r="I20" s="386" t="b">
        <f t="shared" si="2"/>
        <v>1</v>
      </c>
      <c r="J20" s="476"/>
      <c r="K20" s="712" t="s">
        <v>270</v>
      </c>
      <c r="L20" s="713"/>
      <c r="M20" s="713"/>
      <c r="N20" s="713"/>
      <c r="O20" s="713"/>
      <c r="P20" s="714"/>
      <c r="Q20" s="376"/>
    </row>
    <row r="21" spans="1:17" s="11" customFormat="1" ht="39" customHeight="1" x14ac:dyDescent="0.25">
      <c r="A21" s="696"/>
      <c r="B21" s="702"/>
      <c r="C21" s="94" t="s">
        <v>58</v>
      </c>
      <c r="D21" s="319">
        <f>IFERROR(D20/$D$9,0)</f>
        <v>0.28577632628963306</v>
      </c>
      <c r="E21" s="319">
        <f>IFERROR(E20/$E$9,0)</f>
        <v>0.28388625837361042</v>
      </c>
      <c r="F21" s="44">
        <f>(E21-D21)*100</f>
        <v>-0.18900679160226419</v>
      </c>
      <c r="G21" s="351" t="b">
        <f>D21=[6]FORM.3!E21</f>
        <v>1</v>
      </c>
      <c r="H21" s="460">
        <f>H20/H9</f>
        <v>0.28388625837361042</v>
      </c>
      <c r="I21" s="386" t="b">
        <f t="shared" si="2"/>
        <v>1</v>
      </c>
      <c r="J21" s="476"/>
      <c r="K21" s="715"/>
      <c r="L21" s="716"/>
      <c r="M21" s="716"/>
      <c r="N21" s="716"/>
      <c r="O21" s="716"/>
      <c r="P21" s="717"/>
      <c r="Q21" s="376"/>
    </row>
    <row r="22" spans="1:17" s="11" customFormat="1" ht="39" customHeight="1" x14ac:dyDescent="0.25">
      <c r="A22" s="696"/>
      <c r="B22" s="702" t="s">
        <v>276</v>
      </c>
      <c r="C22" s="51" t="s">
        <v>57</v>
      </c>
      <c r="D22" s="317">
        <f>'Quadro Geral'!J44</f>
        <v>300000</v>
      </c>
      <c r="E22" s="318">
        <f>'Quadro Geral'!M44</f>
        <v>300000</v>
      </c>
      <c r="F22" s="42">
        <f>IFERROR(E22/D22*100-100,)</f>
        <v>0</v>
      </c>
      <c r="G22" s="351" t="b">
        <f>D22=[6]FORM.3!E22</f>
        <v>1</v>
      </c>
      <c r="H22" s="386">
        <f>'Quadro Geral'!M44</f>
        <v>300000</v>
      </c>
      <c r="I22" s="386" t="b">
        <f t="shared" si="2"/>
        <v>1</v>
      </c>
      <c r="J22" s="476"/>
      <c r="K22" s="718"/>
      <c r="L22" s="719"/>
      <c r="M22" s="719"/>
      <c r="N22" s="719"/>
      <c r="O22" s="719"/>
      <c r="P22" s="720"/>
      <c r="Q22" s="376"/>
    </row>
    <row r="23" spans="1:17" s="11" customFormat="1" ht="39" customHeight="1" x14ac:dyDescent="0.3">
      <c r="A23" s="696"/>
      <c r="B23" s="702"/>
      <c r="C23" s="94" t="s">
        <v>58</v>
      </c>
      <c r="D23" s="319">
        <f>IFERROR(D22/$D$9,0)</f>
        <v>3.0412046738855409E-2</v>
      </c>
      <c r="E23" s="319">
        <f>IFERROR(E22/$E$9,0)</f>
        <v>2.9988199613463908E-2</v>
      </c>
      <c r="F23" s="44">
        <f>(E23-D23)*100</f>
        <v>-4.2384712539150077E-2</v>
      </c>
      <c r="G23" s="351" t="b">
        <f>D23=[6]FORM.3!E23</f>
        <v>1</v>
      </c>
      <c r="H23" s="460">
        <f>H22/H9</f>
        <v>2.9988199613463908E-2</v>
      </c>
      <c r="I23" s="386" t="b">
        <f t="shared" si="2"/>
        <v>1</v>
      </c>
      <c r="J23" s="476"/>
      <c r="K23" s="9"/>
      <c r="L23" s="9"/>
      <c r="M23" s="9"/>
      <c r="P23" s="9"/>
      <c r="Q23" s="9"/>
    </row>
    <row r="24" spans="1:17" s="11" customFormat="1" ht="39" customHeight="1" x14ac:dyDescent="0.3">
      <c r="A24" s="696"/>
      <c r="B24" s="702" t="s">
        <v>277</v>
      </c>
      <c r="C24" s="51" t="s">
        <v>57</v>
      </c>
      <c r="D24" s="317">
        <f>'Quadro Geral'!J29</f>
        <v>80000</v>
      </c>
      <c r="E24" s="318">
        <f>'Quadro Geral'!M29</f>
        <v>80000</v>
      </c>
      <c r="F24" s="42">
        <f>IFERROR(E24/D24*100-100,)</f>
        <v>0</v>
      </c>
      <c r="G24" s="351" t="b">
        <f>D24=[6]FORM.3!E24</f>
        <v>1</v>
      </c>
      <c r="H24" s="386">
        <f>'Quadro Geral'!M29</f>
        <v>80000</v>
      </c>
      <c r="I24" s="386" t="b">
        <f t="shared" si="2"/>
        <v>1</v>
      </c>
      <c r="J24" s="476"/>
      <c r="K24" s="433"/>
      <c r="L24" s="9"/>
      <c r="M24" s="9"/>
      <c r="N24" s="9"/>
      <c r="O24" s="9"/>
      <c r="P24" s="9"/>
      <c r="Q24" s="9"/>
    </row>
    <row r="25" spans="1:17" s="11" customFormat="1" ht="39" customHeight="1" x14ac:dyDescent="0.3">
      <c r="A25" s="697"/>
      <c r="B25" s="702"/>
      <c r="C25" s="94" t="s">
        <v>58</v>
      </c>
      <c r="D25" s="319">
        <f>IFERROR(D24/$D$9,0)</f>
        <v>8.1098791303614425E-3</v>
      </c>
      <c r="E25" s="319">
        <f>IFERROR(E24/$E$9,0)</f>
        <v>7.9968532302570425E-3</v>
      </c>
      <c r="F25" s="44">
        <f>(E25-D25)*100</f>
        <v>-1.1302590010439997E-2</v>
      </c>
      <c r="G25" s="351" t="b">
        <f>D25=[6]FORM.3!E25</f>
        <v>1</v>
      </c>
      <c r="H25" s="460">
        <f>H24/H9</f>
        <v>7.9968532302570425E-3</v>
      </c>
      <c r="I25" s="386" t="b">
        <f t="shared" si="2"/>
        <v>1</v>
      </c>
      <c r="J25" s="476"/>
      <c r="K25" s="433"/>
      <c r="L25" s="9"/>
      <c r="M25" s="9"/>
      <c r="P25" s="9"/>
      <c r="Q25" s="9"/>
    </row>
    <row r="26" spans="1:17" ht="19.5" thickBot="1" x14ac:dyDescent="0.35">
      <c r="A26" s="9"/>
      <c r="B26" s="10"/>
      <c r="C26" s="9"/>
      <c r="D26" s="9"/>
      <c r="E26" s="9"/>
      <c r="F26" s="9"/>
      <c r="G26" s="9"/>
      <c r="H26" s="9"/>
      <c r="I26" s="9"/>
      <c r="J26" s="9"/>
      <c r="K26" s="9"/>
      <c r="L26" s="9"/>
      <c r="M26" s="9"/>
      <c r="N26" s="299"/>
      <c r="O26" s="299"/>
      <c r="P26" s="9"/>
      <c r="Q26" s="9"/>
    </row>
    <row r="27" spans="1:17" ht="27" customHeight="1" thickBot="1" x14ac:dyDescent="0.3">
      <c r="A27" s="484" t="s">
        <v>268</v>
      </c>
      <c r="B27" s="485"/>
      <c r="C27" s="485"/>
      <c r="D27" s="485"/>
      <c r="E27" s="485"/>
      <c r="F27" s="485"/>
      <c r="G27" s="485"/>
      <c r="H27" s="485"/>
      <c r="I27" s="485"/>
      <c r="J27" s="485"/>
      <c r="K27" s="485"/>
      <c r="L27" s="485"/>
      <c r="M27" s="485"/>
      <c r="N27" s="485"/>
      <c r="O27" s="485"/>
      <c r="P27" s="486"/>
      <c r="Q27" s="377"/>
    </row>
    <row r="28" spans="1:17" ht="18.75" customHeight="1" x14ac:dyDescent="0.25">
      <c r="A28" s="689" t="s">
        <v>769</v>
      </c>
      <c r="B28" s="690"/>
      <c r="C28" s="690"/>
      <c r="D28" s="690"/>
      <c r="E28" s="690"/>
      <c r="F28" s="690"/>
      <c r="G28" s="690"/>
      <c r="H28" s="690"/>
      <c r="I28" s="690"/>
      <c r="J28" s="690"/>
      <c r="K28" s="690"/>
      <c r="L28" s="690"/>
      <c r="M28" s="477"/>
      <c r="N28" s="477"/>
      <c r="O28" s="477"/>
      <c r="P28" s="478"/>
      <c r="Q28" s="378"/>
    </row>
    <row r="29" spans="1:17" ht="18.75" x14ac:dyDescent="0.25">
      <c r="A29" s="691"/>
      <c r="B29" s="692"/>
      <c r="C29" s="692"/>
      <c r="D29" s="692"/>
      <c r="E29" s="692"/>
      <c r="F29" s="692"/>
      <c r="G29" s="692"/>
      <c r="H29" s="692"/>
      <c r="I29" s="692"/>
      <c r="J29" s="692"/>
      <c r="K29" s="692"/>
      <c r="L29" s="692"/>
      <c r="M29" s="479"/>
      <c r="N29" s="479"/>
      <c r="O29" s="479"/>
      <c r="P29" s="480"/>
      <c r="Q29" s="378"/>
    </row>
    <row r="30" spans="1:17" ht="18.75" x14ac:dyDescent="0.25">
      <c r="A30" s="691"/>
      <c r="B30" s="692"/>
      <c r="C30" s="692"/>
      <c r="D30" s="692"/>
      <c r="E30" s="692"/>
      <c r="F30" s="692"/>
      <c r="G30" s="692"/>
      <c r="H30" s="692"/>
      <c r="I30" s="692"/>
      <c r="J30" s="692"/>
      <c r="K30" s="692"/>
      <c r="L30" s="692"/>
      <c r="M30" s="479"/>
      <c r="N30" s="479"/>
      <c r="O30" s="479"/>
      <c r="P30" s="480"/>
      <c r="Q30" s="378"/>
    </row>
    <row r="31" spans="1:17" ht="18.75" x14ac:dyDescent="0.25">
      <c r="A31" s="691"/>
      <c r="B31" s="692"/>
      <c r="C31" s="692"/>
      <c r="D31" s="692"/>
      <c r="E31" s="692"/>
      <c r="F31" s="692"/>
      <c r="G31" s="692"/>
      <c r="H31" s="692"/>
      <c r="I31" s="692"/>
      <c r="J31" s="692"/>
      <c r="K31" s="692"/>
      <c r="L31" s="692"/>
      <c r="M31" s="479"/>
      <c r="N31" s="479"/>
      <c r="O31" s="479"/>
      <c r="P31" s="480"/>
      <c r="Q31" s="378"/>
    </row>
    <row r="32" spans="1:17" ht="18.75" x14ac:dyDescent="0.25">
      <c r="A32" s="691"/>
      <c r="B32" s="692"/>
      <c r="C32" s="692"/>
      <c r="D32" s="692"/>
      <c r="E32" s="692"/>
      <c r="F32" s="692"/>
      <c r="G32" s="692"/>
      <c r="H32" s="692"/>
      <c r="I32" s="692"/>
      <c r="J32" s="692"/>
      <c r="K32" s="692"/>
      <c r="L32" s="692"/>
      <c r="M32" s="479"/>
      <c r="N32" s="479"/>
      <c r="O32" s="479"/>
      <c r="P32" s="480"/>
      <c r="Q32" s="378"/>
    </row>
    <row r="33" spans="1:17" ht="18.75" x14ac:dyDescent="0.25">
      <c r="A33" s="691"/>
      <c r="B33" s="692"/>
      <c r="C33" s="692"/>
      <c r="D33" s="692"/>
      <c r="E33" s="692"/>
      <c r="F33" s="692"/>
      <c r="G33" s="692"/>
      <c r="H33" s="692"/>
      <c r="I33" s="692"/>
      <c r="J33" s="692"/>
      <c r="K33" s="692"/>
      <c r="L33" s="692"/>
      <c r="M33" s="479"/>
      <c r="N33" s="479"/>
      <c r="O33" s="479"/>
      <c r="P33" s="480"/>
      <c r="Q33" s="378"/>
    </row>
    <row r="34" spans="1:17" ht="19.5" thickBot="1" x14ac:dyDescent="0.3">
      <c r="A34" s="481"/>
      <c r="B34" s="482"/>
      <c r="C34" s="482"/>
      <c r="D34" s="482"/>
      <c r="E34" s="482"/>
      <c r="F34" s="482"/>
      <c r="G34" s="482"/>
      <c r="H34" s="482"/>
      <c r="I34" s="482"/>
      <c r="J34" s="482"/>
      <c r="K34" s="482"/>
      <c r="L34" s="482"/>
      <c r="M34" s="482"/>
      <c r="N34" s="482"/>
      <c r="O34" s="482"/>
      <c r="P34" s="483"/>
      <c r="Q34" s="378"/>
    </row>
    <row r="35" spans="1:17" ht="18.75" x14ac:dyDescent="0.3">
      <c r="A35" s="9"/>
      <c r="B35" s="9"/>
      <c r="C35" s="9"/>
      <c r="D35" s="9"/>
      <c r="E35" s="9"/>
      <c r="F35" s="9"/>
      <c r="G35" s="9"/>
      <c r="H35" s="9"/>
      <c r="I35" s="9"/>
      <c r="J35" s="9"/>
      <c r="K35" s="9"/>
      <c r="L35" s="9"/>
      <c r="M35" s="9"/>
      <c r="N35" s="9"/>
      <c r="O35" s="9"/>
      <c r="P35" s="9"/>
      <c r="Q35" s="9"/>
    </row>
    <row r="37" spans="1:17" x14ac:dyDescent="0.25">
      <c r="E37" s="461"/>
    </row>
    <row r="38" spans="1:17" x14ac:dyDescent="0.25">
      <c r="E38" s="462"/>
    </row>
    <row r="39" spans="1:17" x14ac:dyDescent="0.25">
      <c r="E39" s="462"/>
    </row>
    <row r="40" spans="1:17" x14ac:dyDescent="0.25">
      <c r="E40" s="462"/>
    </row>
    <row r="41" spans="1:17" x14ac:dyDescent="0.25">
      <c r="E41" s="462"/>
    </row>
  </sheetData>
  <sheetProtection selectLockedCells="1"/>
  <mergeCells count="32">
    <mergeCell ref="A28:L33"/>
    <mergeCell ref="T4:T7"/>
    <mergeCell ref="B9:C9"/>
    <mergeCell ref="K2:P2"/>
    <mergeCell ref="A11:A25"/>
    <mergeCell ref="K14:L15"/>
    <mergeCell ref="B16:B17"/>
    <mergeCell ref="K17:P19"/>
    <mergeCell ref="K20:P22"/>
    <mergeCell ref="B22:B23"/>
    <mergeCell ref="B20:B21"/>
    <mergeCell ref="B24:B25"/>
    <mergeCell ref="B14:B15"/>
    <mergeCell ref="B18:B19"/>
    <mergeCell ref="B11:C11"/>
    <mergeCell ref="B12:B13"/>
    <mergeCell ref="A2:F2"/>
    <mergeCell ref="K11:M11"/>
    <mergeCell ref="K12:L13"/>
    <mergeCell ref="A1:P1"/>
    <mergeCell ref="A4:A9"/>
    <mergeCell ref="B4:C4"/>
    <mergeCell ref="K4:K7"/>
    <mergeCell ref="L4:M4"/>
    <mergeCell ref="B5:C5"/>
    <mergeCell ref="L5:M5"/>
    <mergeCell ref="B6:C6"/>
    <mergeCell ref="L6:M6"/>
    <mergeCell ref="B7:C7"/>
    <mergeCell ref="L7:M7"/>
    <mergeCell ref="B8:C8"/>
    <mergeCell ref="K8:L8"/>
  </mergeCells>
  <conditionalFormatting sqref="Q12:Q15 Q5:Q7 G5:G9 G12:J25">
    <cfRule type="cellIs" dxfId="7" priority="3" operator="greaterThan">
      <formula>"v"</formula>
    </cfRule>
  </conditionalFormatting>
  <conditionalFormatting sqref="S12:S15">
    <cfRule type="cellIs" dxfId="6" priority="2" operator="greaterThan">
      <formula>"v"</formula>
    </cfRule>
  </conditionalFormatting>
  <conditionalFormatting sqref="S5:S7">
    <cfRule type="cellIs" dxfId="5" priority="1" operator="greaterThan">
      <formula>"v"</formula>
    </cfRule>
  </conditionalFormatting>
  <pageMargins left="0.51181102362204722" right="0.51181102362204722" top="0.35433070866141736" bottom="0.78740157480314965" header="0.31496062992125984" footer="0.31496062992125984"/>
  <pageSetup paperSize="9" scale="58" fitToWidth="0" orientation="landscape" r:id="rId1"/>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777777"/>
  </sheetPr>
  <dimension ref="A1:AB60"/>
  <sheetViews>
    <sheetView showGridLines="0" topLeftCell="A28" zoomScale="40" zoomScaleNormal="40" workbookViewId="0">
      <selection activeCell="R45" sqref="R45"/>
    </sheetView>
  </sheetViews>
  <sheetFormatPr defaultColWidth="16.42578125" defaultRowHeight="26.25" x14ac:dyDescent="0.4"/>
  <cols>
    <col min="1" max="1" width="25.28515625" style="54" customWidth="1"/>
    <col min="2" max="2" width="16.5703125" style="54" bestFit="1" customWidth="1"/>
    <col min="3" max="3" width="32.140625" style="54" customWidth="1"/>
    <col min="4" max="4" width="27.7109375" style="54" customWidth="1"/>
    <col min="5" max="5" width="5.85546875" style="54" customWidth="1"/>
    <col min="6" max="6" width="31.5703125" style="54" customWidth="1"/>
    <col min="7" max="14" width="25.7109375" style="54" customWidth="1"/>
    <col min="15" max="15" width="27.7109375" style="54" customWidth="1"/>
    <col min="16" max="16" width="26.28515625" style="54" bestFit="1" customWidth="1"/>
    <col min="17" max="17" width="27.7109375" style="54" customWidth="1"/>
    <col min="18" max="18" width="12.28515625" style="54" customWidth="1"/>
    <col min="19" max="19" width="22.85546875" style="54" hidden="1" customWidth="1"/>
    <col min="20" max="16384" width="16.42578125" style="54"/>
  </cols>
  <sheetData>
    <row r="1" spans="1:28" s="100" customFormat="1" x14ac:dyDescent="0.25">
      <c r="A1" s="99" t="s">
        <v>280</v>
      </c>
      <c r="B1" s="99"/>
      <c r="C1" s="99"/>
      <c r="D1" s="99"/>
      <c r="E1" s="99"/>
      <c r="F1" s="99"/>
      <c r="G1" s="99"/>
      <c r="H1" s="99"/>
      <c r="I1" s="99"/>
      <c r="J1" s="99"/>
      <c r="K1" s="99"/>
      <c r="L1" s="99"/>
      <c r="M1" s="99"/>
      <c r="N1" s="99"/>
      <c r="O1" s="99"/>
      <c r="P1" s="99"/>
      <c r="Q1" s="99"/>
      <c r="R1" s="99"/>
      <c r="U1" s="101"/>
      <c r="V1" s="102"/>
    </row>
    <row r="2" spans="1:28" x14ac:dyDescent="0.4">
      <c r="A2" s="743" t="s">
        <v>62</v>
      </c>
      <c r="B2" s="743"/>
      <c r="C2" s="743"/>
      <c r="D2" s="743"/>
      <c r="E2" s="743"/>
      <c r="F2" s="743"/>
      <c r="G2" s="743"/>
      <c r="H2" s="743"/>
      <c r="I2" s="743"/>
      <c r="J2" s="743"/>
      <c r="K2" s="743"/>
      <c r="L2" s="743"/>
      <c r="M2" s="743"/>
      <c r="N2" s="743"/>
      <c r="O2" s="743"/>
      <c r="P2" s="743"/>
      <c r="Q2" s="743"/>
      <c r="R2" s="743"/>
      <c r="U2" s="103"/>
      <c r="V2" s="104"/>
    </row>
    <row r="3" spans="1:28" x14ac:dyDescent="0.4">
      <c r="A3" s="744" t="s">
        <v>283</v>
      </c>
      <c r="B3" s="745"/>
      <c r="C3" s="745"/>
      <c r="D3" s="745"/>
      <c r="E3" s="745"/>
      <c r="F3" s="746"/>
      <c r="G3" s="746"/>
      <c r="H3" s="746"/>
      <c r="I3" s="746"/>
      <c r="J3" s="746"/>
      <c r="K3" s="746"/>
      <c r="L3" s="746"/>
      <c r="M3" s="746"/>
      <c r="N3" s="746"/>
      <c r="O3" s="746"/>
      <c r="P3" s="746"/>
      <c r="Q3" s="746"/>
      <c r="R3" s="747"/>
      <c r="U3" s="103"/>
      <c r="V3" s="104"/>
    </row>
    <row r="4" spans="1:28" x14ac:dyDescent="0.4">
      <c r="A4" s="105"/>
      <c r="B4" s="105"/>
      <c r="C4" s="105"/>
      <c r="D4" s="105"/>
      <c r="E4" s="105"/>
      <c r="F4" s="105"/>
      <c r="G4" s="105"/>
    </row>
    <row r="5" spans="1:28" s="107" customFormat="1" x14ac:dyDescent="0.4">
      <c r="A5" s="748" t="s">
        <v>4</v>
      </c>
      <c r="B5" s="748" t="s">
        <v>188</v>
      </c>
      <c r="C5" s="741" t="s">
        <v>43</v>
      </c>
      <c r="D5" s="741" t="s">
        <v>241</v>
      </c>
      <c r="E5" s="106"/>
      <c r="F5" s="742" t="s">
        <v>1</v>
      </c>
      <c r="G5" s="742"/>
      <c r="H5" s="741" t="s">
        <v>44</v>
      </c>
      <c r="I5" s="749" t="s">
        <v>45</v>
      </c>
      <c r="J5" s="750"/>
      <c r="K5" s="750"/>
      <c r="L5" s="751" t="s">
        <v>173</v>
      </c>
      <c r="M5" s="740" t="s">
        <v>281</v>
      </c>
      <c r="N5" s="740" t="s">
        <v>46</v>
      </c>
      <c r="O5" s="740" t="s">
        <v>47</v>
      </c>
      <c r="P5" s="741" t="s">
        <v>2</v>
      </c>
      <c r="Q5" s="742" t="s">
        <v>0</v>
      </c>
      <c r="R5" s="742" t="s">
        <v>48</v>
      </c>
      <c r="S5" s="734"/>
      <c r="U5" s="108"/>
      <c r="V5" s="109"/>
    </row>
    <row r="6" spans="1:28" s="107" customFormat="1" ht="51" x14ac:dyDescent="0.4">
      <c r="A6" s="748"/>
      <c r="B6" s="748"/>
      <c r="C6" s="741"/>
      <c r="D6" s="741"/>
      <c r="E6" s="106"/>
      <c r="F6" s="110" t="s">
        <v>75</v>
      </c>
      <c r="G6" s="110" t="s">
        <v>49</v>
      </c>
      <c r="H6" s="741"/>
      <c r="I6" s="110" t="s">
        <v>49</v>
      </c>
      <c r="J6" s="110" t="s">
        <v>50</v>
      </c>
      <c r="K6" s="110" t="s">
        <v>51</v>
      </c>
      <c r="L6" s="751"/>
      <c r="M6" s="740"/>
      <c r="N6" s="740"/>
      <c r="O6" s="740"/>
      <c r="P6" s="741"/>
      <c r="Q6" s="742"/>
      <c r="R6" s="742"/>
      <c r="S6" s="734"/>
      <c r="T6" s="562"/>
      <c r="U6" s="562"/>
      <c r="V6" s="562"/>
      <c r="W6" s="562"/>
      <c r="X6" s="562"/>
      <c r="Y6" s="562"/>
      <c r="Z6" s="562"/>
      <c r="AA6" s="562"/>
      <c r="AB6" s="562"/>
    </row>
    <row r="7" spans="1:28" ht="409.5" customHeight="1" x14ac:dyDescent="0.4">
      <c r="A7" s="111" t="str">
        <f>'Quadro Geral'!A9</f>
        <v>Assessoria de Comunicação (Ascom)</v>
      </c>
      <c r="B7" s="112"/>
      <c r="C7" s="113" t="str">
        <f>'Quadro Geral'!E9</f>
        <v>Manter e Desenvolver as Atividades da Assessoria de Comunicação</v>
      </c>
      <c r="D7" s="114">
        <f>'Quadro Geral'!M9</f>
        <v>405867.71038250002</v>
      </c>
      <c r="E7" s="106"/>
      <c r="F7" s="115">
        <v>305367.71038250002</v>
      </c>
      <c r="G7" s="115">
        <v>0</v>
      </c>
      <c r="H7" s="115">
        <v>0</v>
      </c>
      <c r="I7" s="115">
        <v>0</v>
      </c>
      <c r="J7" s="115">
        <v>0</v>
      </c>
      <c r="K7" s="115">
        <v>100500</v>
      </c>
      <c r="L7" s="115">
        <v>0</v>
      </c>
      <c r="M7" s="115">
        <v>0</v>
      </c>
      <c r="N7" s="115">
        <v>0</v>
      </c>
      <c r="O7" s="116">
        <f>SUM(F7:N7)</f>
        <v>405867.71038250002</v>
      </c>
      <c r="P7" s="115">
        <v>0</v>
      </c>
      <c r="Q7" s="116">
        <f>O7+P7</f>
        <v>405867.71038250002</v>
      </c>
      <c r="R7" s="117">
        <f t="shared" ref="R7:R40" si="0">IFERROR(Q7/$Q$46*100,0)</f>
        <v>3.8252768138535407</v>
      </c>
      <c r="S7" s="54" t="b">
        <f>D7=Q7</f>
        <v>1</v>
      </c>
      <c r="T7" s="118"/>
      <c r="U7" s="467"/>
      <c r="V7" s="128"/>
      <c r="W7" s="128"/>
      <c r="X7" s="128"/>
    </row>
    <row r="8" spans="1:28" ht="210" x14ac:dyDescent="0.4">
      <c r="A8" s="111" t="str">
        <f>'Quadro Geral'!A10</f>
        <v>Comissão Especial de Assistência Técnica para Habitação de Interesse Social (Cathis)</v>
      </c>
      <c r="B8" s="112"/>
      <c r="C8" s="113" t="str">
        <f>'Quadro Geral'!E10</f>
        <v>Manter e Desenvolver as Atividades da Comissão Especial de Assistência Técnica para Habitação de Interesse Social</v>
      </c>
      <c r="D8" s="114">
        <f>'Quadro Geral'!M10</f>
        <v>27999.999000000003</v>
      </c>
      <c r="E8" s="106"/>
      <c r="F8" s="115">
        <v>0</v>
      </c>
      <c r="G8" s="115">
        <v>0</v>
      </c>
      <c r="H8" s="115">
        <v>0</v>
      </c>
      <c r="I8" s="115">
        <v>10187.040000000001</v>
      </c>
      <c r="J8" s="115">
        <v>10187.040000000001</v>
      </c>
      <c r="K8" s="115">
        <v>7625.9189999999999</v>
      </c>
      <c r="L8" s="115">
        <v>0</v>
      </c>
      <c r="M8" s="115">
        <v>0</v>
      </c>
      <c r="N8" s="115">
        <v>0</v>
      </c>
      <c r="O8" s="116">
        <f t="shared" ref="O8:O45" si="1">SUM(F8:N8)</f>
        <v>27999.999000000003</v>
      </c>
      <c r="P8" s="115">
        <v>0</v>
      </c>
      <c r="Q8" s="116">
        <f t="shared" ref="Q8:Q45" si="2">O8+P8</f>
        <v>27999.999000000003</v>
      </c>
      <c r="R8" s="117">
        <f t="shared" si="0"/>
        <v>0.26389817229284213</v>
      </c>
      <c r="S8" s="54" t="b">
        <f t="shared" ref="S8:S46" si="3">D8=Q8</f>
        <v>1</v>
      </c>
      <c r="T8" s="118"/>
    </row>
    <row r="9" spans="1:28" ht="236.25" x14ac:dyDescent="0.4">
      <c r="A9" s="111" t="str">
        <f>'Quadro Geral'!A11</f>
        <v>Colegiado das Entidades Estaduais de Arquitetos e Urbanistas do CAU/MG (CEAU)</v>
      </c>
      <c r="B9" s="112"/>
      <c r="C9" s="113" t="str">
        <f>'Quadro Geral'!E11</f>
        <v>Manter e Desenvolver as Atividades do Colegiado das Entidades Estaduais de Arquitetos e Urbanistas do CAU/MG</v>
      </c>
      <c r="D9" s="114">
        <f>'Quadro Geral'!M11</f>
        <v>16000</v>
      </c>
      <c r="E9" s="106"/>
      <c r="F9" s="115">
        <v>0</v>
      </c>
      <c r="G9" s="115">
        <v>0</v>
      </c>
      <c r="H9" s="115">
        <v>0</v>
      </c>
      <c r="I9" s="115">
        <v>8000</v>
      </c>
      <c r="J9" s="115">
        <v>8000</v>
      </c>
      <c r="K9" s="115">
        <v>0</v>
      </c>
      <c r="L9" s="115">
        <v>0</v>
      </c>
      <c r="M9" s="115">
        <v>0</v>
      </c>
      <c r="N9" s="115">
        <v>0</v>
      </c>
      <c r="O9" s="116">
        <f t="shared" si="1"/>
        <v>16000</v>
      </c>
      <c r="P9" s="115">
        <v>0</v>
      </c>
      <c r="Q9" s="116">
        <f t="shared" si="2"/>
        <v>16000</v>
      </c>
      <c r="R9" s="117">
        <f t="shared" si="0"/>
        <v>0.15079896098158693</v>
      </c>
      <c r="S9" s="54" t="b">
        <f t="shared" si="3"/>
        <v>1</v>
      </c>
      <c r="T9" s="118"/>
    </row>
    <row r="10" spans="1:28" ht="183.75" x14ac:dyDescent="0.4">
      <c r="A10" s="111" t="str">
        <f>'Quadro Geral'!A12</f>
        <v>Colegiado das Entidades Estaduais de Arquitetos e Urbanistas do CAU/MG (CEAU)</v>
      </c>
      <c r="B10" s="112"/>
      <c r="C10" s="113" t="str">
        <f>'Quadro Geral'!E12</f>
        <v>Edital de Patrocínio para Entidades de Arquitetos e Urbanistas</v>
      </c>
      <c r="D10" s="114">
        <f>'Quadro Geral'!M12</f>
        <v>100000</v>
      </c>
      <c r="E10" s="106"/>
      <c r="F10" s="115">
        <v>0</v>
      </c>
      <c r="G10" s="115">
        <v>0</v>
      </c>
      <c r="H10" s="115">
        <v>0</v>
      </c>
      <c r="I10" s="115">
        <v>0</v>
      </c>
      <c r="J10" s="115">
        <v>0</v>
      </c>
      <c r="K10" s="115">
        <v>0</v>
      </c>
      <c r="L10" s="115">
        <v>100000</v>
      </c>
      <c r="M10" s="115">
        <v>0</v>
      </c>
      <c r="N10" s="115">
        <v>0</v>
      </c>
      <c r="O10" s="116">
        <f t="shared" si="1"/>
        <v>100000</v>
      </c>
      <c r="P10" s="115">
        <v>0</v>
      </c>
      <c r="Q10" s="116">
        <f t="shared" si="2"/>
        <v>100000</v>
      </c>
      <c r="R10" s="117">
        <f t="shared" si="0"/>
        <v>0.94249350613491834</v>
      </c>
      <c r="S10" s="54" t="b">
        <f t="shared" si="3"/>
        <v>1</v>
      </c>
      <c r="T10" s="118"/>
    </row>
    <row r="11" spans="1:28" ht="157.5" x14ac:dyDescent="0.4">
      <c r="A11" s="111" t="str">
        <f>'Quadro Geral'!A13</f>
        <v>Comissão de Organização e Administração (COA)</v>
      </c>
      <c r="B11" s="112"/>
      <c r="C11" s="113" t="str">
        <f>'Quadro Geral'!E13</f>
        <v>Manter e Desenvolver as Atividades da Comissão de Organização e Administração</v>
      </c>
      <c r="D11" s="114">
        <f>'Quadro Geral'!M13</f>
        <v>90935</v>
      </c>
      <c r="E11" s="106"/>
      <c r="F11" s="115">
        <v>0</v>
      </c>
      <c r="G11" s="115">
        <v>0</v>
      </c>
      <c r="H11" s="115">
        <v>0</v>
      </c>
      <c r="I11" s="115">
        <v>20467.5</v>
      </c>
      <c r="J11" s="115">
        <v>20467.5</v>
      </c>
      <c r="K11" s="115">
        <v>50000</v>
      </c>
      <c r="L11" s="115">
        <v>0</v>
      </c>
      <c r="M11" s="115">
        <v>0</v>
      </c>
      <c r="N11" s="115">
        <v>0</v>
      </c>
      <c r="O11" s="116">
        <f t="shared" si="1"/>
        <v>90935</v>
      </c>
      <c r="P11" s="115">
        <v>0</v>
      </c>
      <c r="Q11" s="116">
        <f t="shared" si="2"/>
        <v>90935</v>
      </c>
      <c r="R11" s="117">
        <f t="shared" si="0"/>
        <v>0.85705646980378802</v>
      </c>
      <c r="S11" s="54" t="b">
        <f t="shared" si="3"/>
        <v>1</v>
      </c>
      <c r="T11" s="118"/>
    </row>
    <row r="12" spans="1:28" ht="131.25" x14ac:dyDescent="0.4">
      <c r="A12" s="111" t="str">
        <f>'Quadro Geral'!A14</f>
        <v>Comissão de Ensino e Formação (CEF)</v>
      </c>
      <c r="B12" s="112"/>
      <c r="C12" s="113" t="str">
        <f>'Quadro Geral'!E14</f>
        <v>Manter e Desenvolver as Atividades da Comissão de Ensino e Formação</v>
      </c>
      <c r="D12" s="114">
        <f>'Quadro Geral'!M14</f>
        <v>92000</v>
      </c>
      <c r="E12" s="106"/>
      <c r="F12" s="115">
        <v>0</v>
      </c>
      <c r="G12" s="115">
        <v>0</v>
      </c>
      <c r="H12" s="115">
        <v>0</v>
      </c>
      <c r="I12" s="115">
        <v>42190</v>
      </c>
      <c r="J12" s="115">
        <v>42190</v>
      </c>
      <c r="K12" s="115">
        <v>1620</v>
      </c>
      <c r="L12" s="115">
        <v>6000</v>
      </c>
      <c r="M12" s="115">
        <v>0</v>
      </c>
      <c r="N12" s="115">
        <v>0</v>
      </c>
      <c r="O12" s="116">
        <f t="shared" si="1"/>
        <v>92000</v>
      </c>
      <c r="P12" s="115">
        <v>0</v>
      </c>
      <c r="Q12" s="116">
        <f t="shared" si="2"/>
        <v>92000</v>
      </c>
      <c r="R12" s="117">
        <f t="shared" si="0"/>
        <v>0.86709402564412486</v>
      </c>
      <c r="S12" s="54" t="b">
        <f t="shared" si="3"/>
        <v>1</v>
      </c>
      <c r="T12" s="118"/>
    </row>
    <row r="13" spans="1:28" ht="131.25" x14ac:dyDescent="0.4">
      <c r="A13" s="111" t="str">
        <f>'Quadro Geral'!A15</f>
        <v>Comissão de Ética e Disciplina (CED)</v>
      </c>
      <c r="B13" s="112"/>
      <c r="C13" s="113" t="str">
        <f>'Quadro Geral'!E15</f>
        <v>Manter e Desenvolver as Atividades da Comissão de Ética e Disciplina</v>
      </c>
      <c r="D13" s="114">
        <f>'Quadro Geral'!M15</f>
        <v>76000</v>
      </c>
      <c r="E13" s="106"/>
      <c r="F13" s="115">
        <v>0</v>
      </c>
      <c r="G13" s="115">
        <v>0</v>
      </c>
      <c r="H13" s="115">
        <v>0</v>
      </c>
      <c r="I13" s="115">
        <v>38000</v>
      </c>
      <c r="J13" s="115">
        <v>38000</v>
      </c>
      <c r="K13" s="115">
        <v>0</v>
      </c>
      <c r="L13" s="115">
        <v>0</v>
      </c>
      <c r="M13" s="115">
        <v>0</v>
      </c>
      <c r="N13" s="115">
        <v>0</v>
      </c>
      <c r="O13" s="116">
        <f t="shared" si="1"/>
        <v>76000</v>
      </c>
      <c r="P13" s="115">
        <v>0</v>
      </c>
      <c r="Q13" s="116">
        <f t="shared" si="2"/>
        <v>76000</v>
      </c>
      <c r="R13" s="117">
        <f t="shared" si="0"/>
        <v>0.71629506466253789</v>
      </c>
      <c r="S13" s="54" t="b">
        <f t="shared" si="3"/>
        <v>1</v>
      </c>
      <c r="T13" s="118"/>
    </row>
    <row r="14" spans="1:28" ht="157.5" x14ac:dyDescent="0.4">
      <c r="A14" s="111" t="str">
        <f>'Quadro Geral'!A16</f>
        <v>Comissão de Exercício Profissional (CEP)</v>
      </c>
      <c r="B14" s="112"/>
      <c r="C14" s="113" t="str">
        <f>'Quadro Geral'!E16</f>
        <v>Manter e Desenvolver as Atividades da Comissão de Exercício Profissional</v>
      </c>
      <c r="D14" s="114">
        <f>'Quadro Geral'!M16</f>
        <v>128000</v>
      </c>
      <c r="E14" s="106"/>
      <c r="F14" s="115">
        <v>0</v>
      </c>
      <c r="G14" s="115">
        <v>0</v>
      </c>
      <c r="H14" s="115">
        <v>0</v>
      </c>
      <c r="I14" s="115">
        <v>48180</v>
      </c>
      <c r="J14" s="115">
        <v>48180</v>
      </c>
      <c r="K14" s="115">
        <v>31640</v>
      </c>
      <c r="L14" s="115">
        <v>0</v>
      </c>
      <c r="M14" s="115">
        <v>0</v>
      </c>
      <c r="N14" s="115">
        <v>0</v>
      </c>
      <c r="O14" s="116">
        <f t="shared" si="1"/>
        <v>128000</v>
      </c>
      <c r="P14" s="115">
        <v>0</v>
      </c>
      <c r="Q14" s="116">
        <f t="shared" si="2"/>
        <v>128000</v>
      </c>
      <c r="R14" s="117">
        <f t="shared" si="0"/>
        <v>1.2063916878526955</v>
      </c>
      <c r="S14" s="54" t="b">
        <f t="shared" si="3"/>
        <v>1</v>
      </c>
      <c r="T14" s="118"/>
    </row>
    <row r="15" spans="1:28" ht="157.5" x14ac:dyDescent="0.4">
      <c r="A15" s="111" t="str">
        <f>'Quadro Geral'!A17</f>
        <v>Comissão de Planejamento e Finanças (CPFi)</v>
      </c>
      <c r="B15" s="112"/>
      <c r="C15" s="113" t="str">
        <f>'Quadro Geral'!E17</f>
        <v>Manter e Desenvolver as Atividades da Comissão de Planejamento e Finanças</v>
      </c>
      <c r="D15" s="114">
        <f>'Quadro Geral'!M17</f>
        <v>44800</v>
      </c>
      <c r="E15" s="106"/>
      <c r="F15" s="115">
        <v>0</v>
      </c>
      <c r="G15" s="115">
        <v>0</v>
      </c>
      <c r="H15" s="115">
        <v>0</v>
      </c>
      <c r="I15" s="115">
        <v>20375</v>
      </c>
      <c r="J15" s="115">
        <v>20375</v>
      </c>
      <c r="K15" s="115">
        <v>4050</v>
      </c>
      <c r="L15" s="115">
        <v>0</v>
      </c>
      <c r="M15" s="115">
        <v>0</v>
      </c>
      <c r="N15" s="115">
        <v>0</v>
      </c>
      <c r="O15" s="116">
        <f t="shared" si="1"/>
        <v>44800</v>
      </c>
      <c r="P15" s="115">
        <v>0</v>
      </c>
      <c r="Q15" s="116">
        <f t="shared" si="2"/>
        <v>44800</v>
      </c>
      <c r="R15" s="117">
        <f t="shared" si="0"/>
        <v>0.42223709074844346</v>
      </c>
      <c r="S15" s="54" t="b">
        <f t="shared" si="3"/>
        <v>1</v>
      </c>
      <c r="T15" s="118"/>
    </row>
    <row r="16" spans="1:28" ht="157.5" x14ac:dyDescent="0.4">
      <c r="A16" s="111" t="str">
        <f>'Quadro Geral'!A18</f>
        <v>Comissão Especial de Patrimônio Cultural (CPC)</v>
      </c>
      <c r="B16" s="112"/>
      <c r="C16" s="113" t="str">
        <f>'Quadro Geral'!E18</f>
        <v>Manter e Desenvolver as Atividades da Comissão Especial de Patrimônio Cultural</v>
      </c>
      <c r="D16" s="114">
        <f>'Quadro Geral'!M18</f>
        <v>65135</v>
      </c>
      <c r="E16" s="106"/>
      <c r="F16" s="115">
        <v>0</v>
      </c>
      <c r="G16" s="115">
        <v>0</v>
      </c>
      <c r="H16" s="115">
        <v>0</v>
      </c>
      <c r="I16" s="115">
        <v>19067.5</v>
      </c>
      <c r="J16" s="115">
        <v>19067.5</v>
      </c>
      <c r="K16" s="115">
        <v>27000</v>
      </c>
      <c r="L16" s="115">
        <v>0</v>
      </c>
      <c r="M16" s="115">
        <v>0</v>
      </c>
      <c r="N16" s="115">
        <v>0</v>
      </c>
      <c r="O16" s="116">
        <f t="shared" si="1"/>
        <v>65135</v>
      </c>
      <c r="P16" s="115">
        <v>0</v>
      </c>
      <c r="Q16" s="116">
        <f t="shared" si="2"/>
        <v>65135</v>
      </c>
      <c r="R16" s="117">
        <f t="shared" si="0"/>
        <v>0.61389314522097904</v>
      </c>
      <c r="S16" s="54" t="b">
        <f t="shared" si="3"/>
        <v>1</v>
      </c>
      <c r="T16" s="118"/>
    </row>
    <row r="17" spans="1:20" ht="157.5" x14ac:dyDescent="0.4">
      <c r="A17" s="111" t="str">
        <f>'Quadro Geral'!A19</f>
        <v>Comissão Especial de Política Urbana e Ambiental (CPUA)</v>
      </c>
      <c r="B17" s="112"/>
      <c r="C17" s="113" t="str">
        <f>'Quadro Geral'!E19</f>
        <v>Manter e Desenvolver as Atividades da Comissão Especial de Política Urbana e Ambiental</v>
      </c>
      <c r="D17" s="114">
        <f>'Quadro Geral'!M19</f>
        <v>62582.68</v>
      </c>
      <c r="E17" s="106"/>
      <c r="F17" s="115">
        <v>0</v>
      </c>
      <c r="G17" s="115">
        <v>0</v>
      </c>
      <c r="H17" s="115">
        <v>0</v>
      </c>
      <c r="I17" s="115">
        <v>29791.34</v>
      </c>
      <c r="J17" s="115">
        <v>29791.34</v>
      </c>
      <c r="K17" s="115">
        <v>3000</v>
      </c>
      <c r="L17" s="115">
        <v>0</v>
      </c>
      <c r="M17" s="115">
        <v>0</v>
      </c>
      <c r="N17" s="115">
        <v>0</v>
      </c>
      <c r="O17" s="116">
        <f t="shared" si="1"/>
        <v>62582.68</v>
      </c>
      <c r="P17" s="115">
        <v>0</v>
      </c>
      <c r="Q17" s="116">
        <f t="shared" si="2"/>
        <v>62582.68</v>
      </c>
      <c r="R17" s="117">
        <f t="shared" si="0"/>
        <v>0.58983769496519634</v>
      </c>
      <c r="S17" s="54" t="b">
        <f t="shared" si="3"/>
        <v>1</v>
      </c>
      <c r="T17" s="118"/>
    </row>
    <row r="18" spans="1:20" ht="157.5" x14ac:dyDescent="0.4">
      <c r="A18" s="111" t="str">
        <f>'Quadro Geral'!A20</f>
        <v>Escritório Descentralizado Leste de Minas</v>
      </c>
      <c r="B18" s="112"/>
      <c r="C18" s="113" t="str">
        <f>'Quadro Geral'!E20</f>
        <v>Manter e Desenvolver as Atividades do Escritório Descentralizado Leste de Minas</v>
      </c>
      <c r="D18" s="114">
        <f>'Quadro Geral'!M20</f>
        <v>119491.66305</v>
      </c>
      <c r="E18" s="106"/>
      <c r="F18" s="115">
        <v>64955.669049999982</v>
      </c>
      <c r="G18" s="115">
        <v>0</v>
      </c>
      <c r="H18" s="115">
        <v>1800</v>
      </c>
      <c r="I18" s="115">
        <v>0</v>
      </c>
      <c r="J18" s="115">
        <v>0</v>
      </c>
      <c r="K18" s="115">
        <v>52575.993999999992</v>
      </c>
      <c r="L18" s="115">
        <v>0</v>
      </c>
      <c r="M18" s="115">
        <v>0</v>
      </c>
      <c r="N18" s="115">
        <v>160</v>
      </c>
      <c r="O18" s="116">
        <f t="shared" si="1"/>
        <v>119491.66304999997</v>
      </c>
      <c r="P18" s="115">
        <v>0</v>
      </c>
      <c r="Q18" s="116">
        <f t="shared" si="2"/>
        <v>119491.66304999997</v>
      </c>
      <c r="R18" s="117">
        <f t="shared" si="0"/>
        <v>1.1262011646188674</v>
      </c>
      <c r="S18" s="54" t="b">
        <f t="shared" si="3"/>
        <v>1</v>
      </c>
      <c r="T18" s="118"/>
    </row>
    <row r="19" spans="1:20" ht="157.5" x14ac:dyDescent="0.4">
      <c r="A19" s="111" t="str">
        <f>'Quadro Geral'!A21</f>
        <v>Escritório Descentralizado Norte Minas</v>
      </c>
      <c r="B19" s="112"/>
      <c r="C19" s="113" t="str">
        <f>'Quadro Geral'!E21</f>
        <v>Manter e Desenvolver as Atividades do Escritório Descentralizado Norte de Minas</v>
      </c>
      <c r="D19" s="114">
        <f>'Quadro Geral'!M21</f>
        <v>119978.3893</v>
      </c>
      <c r="E19" s="106"/>
      <c r="F19" s="115">
        <v>52717.967299999997</v>
      </c>
      <c r="G19" s="115">
        <v>0</v>
      </c>
      <c r="H19" s="115">
        <v>1220</v>
      </c>
      <c r="I19" s="115">
        <v>0</v>
      </c>
      <c r="J19" s="115">
        <v>0</v>
      </c>
      <c r="K19" s="115">
        <v>65880.421999999991</v>
      </c>
      <c r="L19" s="115">
        <v>0</v>
      </c>
      <c r="M19" s="115">
        <v>0</v>
      </c>
      <c r="N19" s="115">
        <v>160</v>
      </c>
      <c r="O19" s="116">
        <f t="shared" si="1"/>
        <v>119978.38929999998</v>
      </c>
      <c r="P19" s="115">
        <v>0</v>
      </c>
      <c r="Q19" s="116">
        <f t="shared" si="2"/>
        <v>119978.38929999998</v>
      </c>
      <c r="R19" s="117">
        <f t="shared" si="0"/>
        <v>1.1307885279177716</v>
      </c>
      <c r="S19" s="54" t="b">
        <f t="shared" si="3"/>
        <v>1</v>
      </c>
      <c r="T19" s="118"/>
    </row>
    <row r="20" spans="1:20" ht="157.5" x14ac:dyDescent="0.4">
      <c r="A20" s="111" t="str">
        <f>'Quadro Geral'!A22</f>
        <v>Escritório Descentralizado Sul de Minas</v>
      </c>
      <c r="B20" s="112"/>
      <c r="C20" s="113" t="str">
        <f>'Quadro Geral'!E22</f>
        <v>Manter e Desenvolver as Atividades do Escritório Descentralizado Sul de Minas</v>
      </c>
      <c r="D20" s="114">
        <f>'Quadro Geral'!M22</f>
        <v>103302.95505999999</v>
      </c>
      <c r="E20" s="106"/>
      <c r="F20" s="115">
        <v>50368.903059999997</v>
      </c>
      <c r="G20" s="115">
        <v>0</v>
      </c>
      <c r="H20" s="115">
        <v>1200</v>
      </c>
      <c r="I20" s="115">
        <v>0</v>
      </c>
      <c r="J20" s="115">
        <v>0</v>
      </c>
      <c r="K20" s="115">
        <v>51574.052000000003</v>
      </c>
      <c r="L20" s="115">
        <v>0</v>
      </c>
      <c r="M20" s="115">
        <v>0</v>
      </c>
      <c r="N20" s="115">
        <v>160</v>
      </c>
      <c r="O20" s="116">
        <f t="shared" si="1"/>
        <v>103302.95506000001</v>
      </c>
      <c r="P20" s="115">
        <v>0</v>
      </c>
      <c r="Q20" s="116">
        <f t="shared" si="2"/>
        <v>103302.95506000001</v>
      </c>
      <c r="R20" s="117">
        <f t="shared" si="0"/>
        <v>0.97362364308597305</v>
      </c>
      <c r="S20" s="54" t="b">
        <f t="shared" si="3"/>
        <v>1</v>
      </c>
      <c r="T20" s="118"/>
    </row>
    <row r="21" spans="1:20" ht="183.75" x14ac:dyDescent="0.4">
      <c r="A21" s="111" t="str">
        <f>'Quadro Geral'!A23</f>
        <v>Escritório Descentralizado Triângulo Mineiro e Alto Paranaíba</v>
      </c>
      <c r="B21" s="112"/>
      <c r="C21" s="113" t="str">
        <f>'Quadro Geral'!E23</f>
        <v>Manter e Desenvolver as Atividades do Escritório Descentralizado Triângulo Mineiro e Alto Paranaíba</v>
      </c>
      <c r="D21" s="114">
        <f>'Quadro Geral'!M23</f>
        <v>139954.86141000001</v>
      </c>
      <c r="E21" s="106"/>
      <c r="F21" s="115">
        <v>65732.957410000003</v>
      </c>
      <c r="G21" s="115">
        <v>0</v>
      </c>
      <c r="H21" s="115">
        <v>1200</v>
      </c>
      <c r="I21" s="115">
        <v>0</v>
      </c>
      <c r="J21" s="115">
        <v>0</v>
      </c>
      <c r="K21" s="115">
        <v>72861.90400000001</v>
      </c>
      <c r="L21" s="115">
        <v>0</v>
      </c>
      <c r="M21" s="115">
        <v>0</v>
      </c>
      <c r="N21" s="115">
        <v>160</v>
      </c>
      <c r="O21" s="116">
        <f t="shared" si="1"/>
        <v>139954.86141000001</v>
      </c>
      <c r="P21" s="115">
        <v>0</v>
      </c>
      <c r="Q21" s="116">
        <f t="shared" si="2"/>
        <v>139954.86141000001</v>
      </c>
      <c r="R21" s="117">
        <f t="shared" si="0"/>
        <v>1.3190654803093749</v>
      </c>
      <c r="S21" s="54" t="b">
        <f t="shared" si="3"/>
        <v>1</v>
      </c>
      <c r="T21" s="118"/>
    </row>
    <row r="22" spans="1:20" ht="183.75" x14ac:dyDescent="0.4">
      <c r="A22" s="111" t="str">
        <f>'Quadro Geral'!A24</f>
        <v>Escritório Descentralizado Zona da Mata e Vertentes</v>
      </c>
      <c r="B22" s="112"/>
      <c r="C22" s="113" t="str">
        <f>'Quadro Geral'!E24</f>
        <v>Manter e Desenvolver as Atividades do Escritório Descentralizado Zona da Mata e Vertentes.</v>
      </c>
      <c r="D22" s="114">
        <f>'Quadro Geral'!M24</f>
        <v>77950.131818888884</v>
      </c>
      <c r="E22" s="106"/>
      <c r="F22" s="115">
        <v>45477.809818888891</v>
      </c>
      <c r="G22" s="115">
        <v>0</v>
      </c>
      <c r="H22" s="115">
        <v>1200</v>
      </c>
      <c r="I22" s="115">
        <v>0</v>
      </c>
      <c r="J22" s="115">
        <v>0</v>
      </c>
      <c r="K22" s="115">
        <v>31112.322000000004</v>
      </c>
      <c r="L22" s="115">
        <v>0</v>
      </c>
      <c r="M22" s="115">
        <v>0</v>
      </c>
      <c r="N22" s="115">
        <v>160</v>
      </c>
      <c r="O22" s="116">
        <f t="shared" si="1"/>
        <v>77950.131818888898</v>
      </c>
      <c r="P22" s="115">
        <v>0</v>
      </c>
      <c r="Q22" s="116">
        <f t="shared" si="2"/>
        <v>77950.131818888898</v>
      </c>
      <c r="R22" s="117">
        <f t="shared" si="0"/>
        <v>0.73467493041663656</v>
      </c>
      <c r="S22" s="54" t="b">
        <f t="shared" si="3"/>
        <v>1</v>
      </c>
      <c r="T22" s="118"/>
    </row>
    <row r="23" spans="1:20" ht="157.5" x14ac:dyDescent="0.4">
      <c r="A23" s="111" t="str">
        <f>'Quadro Geral'!A25</f>
        <v>Gerência Administrativa e Financeira (GAF)</v>
      </c>
      <c r="B23" s="112"/>
      <c r="C23" s="113" t="str">
        <f>'Quadro Geral'!E25</f>
        <v>Manter e Desenvolver as Atividades da Gerência Administrativa e Financeira</v>
      </c>
      <c r="D23" s="114">
        <f>'Quadro Geral'!M25</f>
        <v>2168042.236138056</v>
      </c>
      <c r="E23" s="106"/>
      <c r="F23" s="115">
        <v>1134313.2700144446</v>
      </c>
      <c r="G23" s="115">
        <v>2000</v>
      </c>
      <c r="H23" s="115">
        <v>51944.14</v>
      </c>
      <c r="I23" s="115">
        <v>0</v>
      </c>
      <c r="J23" s="115">
        <v>2000</v>
      </c>
      <c r="K23" s="115">
        <v>567483.40012361179</v>
      </c>
      <c r="L23" s="115">
        <v>0</v>
      </c>
      <c r="M23" s="115">
        <v>0</v>
      </c>
      <c r="N23" s="115">
        <v>311995.52599999995</v>
      </c>
      <c r="O23" s="116">
        <f t="shared" si="1"/>
        <v>2069736.3361380561</v>
      </c>
      <c r="P23" s="115">
        <v>98305.9</v>
      </c>
      <c r="Q23" s="116">
        <f t="shared" si="2"/>
        <v>2168042.236138056</v>
      </c>
      <c r="R23" s="117">
        <f t="shared" si="0"/>
        <v>20.43365728586345</v>
      </c>
      <c r="S23" s="54" t="b">
        <f t="shared" si="3"/>
        <v>1</v>
      </c>
      <c r="T23" s="118"/>
    </row>
    <row r="24" spans="1:20" ht="105" x14ac:dyDescent="0.4">
      <c r="A24" s="111" t="str">
        <f>'Quadro Geral'!A26</f>
        <v>Gerência Administrativa e Financeira (GAF)</v>
      </c>
      <c r="B24" s="112"/>
      <c r="C24" s="113" t="str">
        <f>'Quadro Geral'!E26</f>
        <v>Fundo de Apoio aos CAU/UF</v>
      </c>
      <c r="D24" s="114">
        <f>'Quadro Geral'!M26</f>
        <v>217058.38</v>
      </c>
      <c r="E24" s="106"/>
      <c r="F24" s="115">
        <v>0</v>
      </c>
      <c r="G24" s="115">
        <v>0</v>
      </c>
      <c r="H24" s="115">
        <v>0</v>
      </c>
      <c r="I24" s="115">
        <v>0</v>
      </c>
      <c r="J24" s="115">
        <v>0</v>
      </c>
      <c r="K24" s="115">
        <v>0</v>
      </c>
      <c r="L24" s="115">
        <v>217058.38</v>
      </c>
      <c r="M24" s="115">
        <v>0</v>
      </c>
      <c r="N24" s="115">
        <v>0</v>
      </c>
      <c r="O24" s="116">
        <f t="shared" si="1"/>
        <v>217058.38</v>
      </c>
      <c r="P24" s="115">
        <v>0</v>
      </c>
      <c r="Q24" s="116">
        <f t="shared" si="2"/>
        <v>217058.38</v>
      </c>
      <c r="R24" s="117">
        <f t="shared" si="0"/>
        <v>2.0457611360216545</v>
      </c>
      <c r="S24" s="54" t="b">
        <f t="shared" si="3"/>
        <v>1</v>
      </c>
      <c r="T24" s="118"/>
    </row>
    <row r="25" spans="1:20" ht="157.5" x14ac:dyDescent="0.4">
      <c r="A25" s="111" t="str">
        <f>'Quadro Geral'!A27</f>
        <v>Gerência Técnica e Fiscalização (Gertef) -  Coordenação de Fiscalização</v>
      </c>
      <c r="B25" s="112"/>
      <c r="C25" s="113" t="str">
        <f>'Quadro Geral'!E27</f>
        <v>Centro de Serviços Compartilhados (CSC) - Fiscalização</v>
      </c>
      <c r="D25" s="114">
        <f>'Quadro Geral'!M27</f>
        <v>672962.27</v>
      </c>
      <c r="E25" s="106"/>
      <c r="F25" s="115">
        <v>0</v>
      </c>
      <c r="G25" s="115">
        <v>0</v>
      </c>
      <c r="H25" s="115">
        <v>0</v>
      </c>
      <c r="I25" s="115">
        <v>0</v>
      </c>
      <c r="J25" s="115">
        <v>0</v>
      </c>
      <c r="K25" s="115">
        <v>0</v>
      </c>
      <c r="L25" s="115">
        <v>672962.27</v>
      </c>
      <c r="M25" s="115">
        <v>0</v>
      </c>
      <c r="N25" s="115">
        <v>0</v>
      </c>
      <c r="O25" s="116">
        <f t="shared" si="1"/>
        <v>672962.27</v>
      </c>
      <c r="P25" s="115">
        <v>0</v>
      </c>
      <c r="Q25" s="116">
        <f t="shared" si="2"/>
        <v>672962.27</v>
      </c>
      <c r="R25" s="117">
        <f t="shared" si="0"/>
        <v>6.3426256934881353</v>
      </c>
      <c r="S25" s="54" t="b">
        <f t="shared" si="3"/>
        <v>1</v>
      </c>
      <c r="T25" s="118"/>
    </row>
    <row r="26" spans="1:20" ht="157.5" x14ac:dyDescent="0.4">
      <c r="A26" s="111" t="str">
        <f>'Quadro Geral'!A28</f>
        <v>Gerência Técnica e Fiscalização (Gertef) -  Coordenação Técnica</v>
      </c>
      <c r="B26" s="112"/>
      <c r="C26" s="113" t="str">
        <f>'Quadro Geral'!E28</f>
        <v>Centro de Serviços Compartilhados (CSC) - Atendimento</v>
      </c>
      <c r="D26" s="114">
        <f>'Quadro Geral'!M28</f>
        <v>101585.59</v>
      </c>
      <c r="E26" s="106"/>
      <c r="F26" s="115">
        <v>0</v>
      </c>
      <c r="G26" s="115">
        <v>0</v>
      </c>
      <c r="H26" s="115">
        <v>0</v>
      </c>
      <c r="I26" s="115">
        <v>0</v>
      </c>
      <c r="J26" s="115">
        <v>0</v>
      </c>
      <c r="K26" s="115">
        <v>0</v>
      </c>
      <c r="L26" s="115">
        <v>101585.59</v>
      </c>
      <c r="M26" s="115">
        <v>0</v>
      </c>
      <c r="N26" s="115">
        <v>0</v>
      </c>
      <c r="O26" s="116">
        <f t="shared" si="1"/>
        <v>101585.59</v>
      </c>
      <c r="P26" s="115">
        <v>0</v>
      </c>
      <c r="Q26" s="116">
        <f t="shared" si="2"/>
        <v>101585.59</v>
      </c>
      <c r="R26" s="117">
        <f t="shared" si="0"/>
        <v>0.9574375889188429</v>
      </c>
      <c r="S26" s="54" t="b">
        <f t="shared" si="3"/>
        <v>1</v>
      </c>
      <c r="T26" s="118"/>
    </row>
    <row r="27" spans="1:20" ht="105" x14ac:dyDescent="0.4">
      <c r="A27" s="111" t="str">
        <f>'Quadro Geral'!A29</f>
        <v>Gerência Administrativa e Financeira (GAF)</v>
      </c>
      <c r="B27" s="112"/>
      <c r="C27" s="113" t="str">
        <f>'Quadro Geral'!E29</f>
        <v>Reserva de Contingência</v>
      </c>
      <c r="D27" s="114">
        <f>'Quadro Geral'!M29</f>
        <v>80000</v>
      </c>
      <c r="E27" s="106"/>
      <c r="F27" s="115">
        <v>0</v>
      </c>
      <c r="G27" s="115">
        <v>0</v>
      </c>
      <c r="H27" s="115">
        <v>0</v>
      </c>
      <c r="I27" s="115">
        <v>0</v>
      </c>
      <c r="J27" s="115">
        <v>0</v>
      </c>
      <c r="K27" s="115">
        <v>0</v>
      </c>
      <c r="L27" s="115">
        <v>0</v>
      </c>
      <c r="M27" s="115">
        <v>80000</v>
      </c>
      <c r="N27" s="115">
        <v>0</v>
      </c>
      <c r="O27" s="116">
        <f t="shared" si="1"/>
        <v>80000</v>
      </c>
      <c r="P27" s="115">
        <v>0</v>
      </c>
      <c r="Q27" s="116">
        <f t="shared" si="2"/>
        <v>80000</v>
      </c>
      <c r="R27" s="117">
        <f t="shared" si="0"/>
        <v>0.75399480490793469</v>
      </c>
      <c r="S27" s="54" t="b">
        <f t="shared" si="3"/>
        <v>1</v>
      </c>
      <c r="T27" s="118"/>
    </row>
    <row r="28" spans="1:20" ht="157.5" x14ac:dyDescent="0.4">
      <c r="A28" s="111" t="str">
        <f>'Quadro Geral'!A30</f>
        <v>Gerência Especial de Planejamento e Gestão Estratégica (Geplan)</v>
      </c>
      <c r="B28" s="112"/>
      <c r="C28" s="113" t="str">
        <f>'Quadro Geral'!E30</f>
        <v>Manter e Desenvolver as Atividades da Gerência Especial de Planejamento e Gestão Estratégica</v>
      </c>
      <c r="D28" s="114">
        <f>'Quadro Geral'!M30</f>
        <v>359339.42867027776</v>
      </c>
      <c r="E28" s="106"/>
      <c r="F28" s="115">
        <v>324029.42867027776</v>
      </c>
      <c r="G28" s="115">
        <v>3469.41</v>
      </c>
      <c r="H28" s="115">
        <v>0</v>
      </c>
      <c r="I28" s="115">
        <v>0</v>
      </c>
      <c r="J28" s="115">
        <v>6422.43</v>
      </c>
      <c r="K28" s="115">
        <v>25418.16</v>
      </c>
      <c r="L28" s="115">
        <v>0</v>
      </c>
      <c r="M28" s="115">
        <v>0</v>
      </c>
      <c r="N28" s="115">
        <v>0</v>
      </c>
      <c r="O28" s="116">
        <f t="shared" si="1"/>
        <v>359339.4286702777</v>
      </c>
      <c r="P28" s="115">
        <v>0</v>
      </c>
      <c r="Q28" s="116">
        <f t="shared" si="2"/>
        <v>359339.4286702777</v>
      </c>
      <c r="R28" s="117">
        <f t="shared" si="0"/>
        <v>3.3867507801996841</v>
      </c>
      <c r="S28" s="54" t="b">
        <f t="shared" si="3"/>
        <v>1</v>
      </c>
      <c r="T28" s="118"/>
    </row>
    <row r="29" spans="1:20" ht="52.5" x14ac:dyDescent="0.4">
      <c r="A29" s="111" t="str">
        <f>'Quadro Geral'!A31</f>
        <v>Gerência Geral (Gergel)</v>
      </c>
      <c r="B29" s="112"/>
      <c r="C29" s="113" t="str">
        <f>'Quadro Geral'!E31</f>
        <v>Eventos Técnicos e Seminários</v>
      </c>
      <c r="D29" s="114">
        <f>'Quadro Geral'!M31</f>
        <v>60921.56</v>
      </c>
      <c r="E29" s="106"/>
      <c r="F29" s="115">
        <v>0</v>
      </c>
      <c r="G29" s="115">
        <v>2906.48</v>
      </c>
      <c r="H29" s="115">
        <v>11415</v>
      </c>
      <c r="I29" s="115">
        <v>41600</v>
      </c>
      <c r="J29" s="115">
        <v>5000.08</v>
      </c>
      <c r="K29" s="115">
        <v>0</v>
      </c>
      <c r="L29" s="115">
        <v>0</v>
      </c>
      <c r="M29" s="115">
        <v>0</v>
      </c>
      <c r="N29" s="115">
        <v>0</v>
      </c>
      <c r="O29" s="116">
        <f t="shared" si="1"/>
        <v>60921.56</v>
      </c>
      <c r="P29" s="115">
        <v>0</v>
      </c>
      <c r="Q29" s="116">
        <f t="shared" si="2"/>
        <v>60921.56</v>
      </c>
      <c r="R29" s="117">
        <f t="shared" si="0"/>
        <v>0.57418174683608791</v>
      </c>
      <c r="S29" s="54" t="b">
        <f t="shared" si="3"/>
        <v>1</v>
      </c>
      <c r="T29" s="118"/>
    </row>
    <row r="30" spans="1:20" ht="105" x14ac:dyDescent="0.4">
      <c r="A30" s="111" t="str">
        <f>'Quadro Geral'!A32</f>
        <v>Gerência Geral (Gergel)</v>
      </c>
      <c r="B30" s="112"/>
      <c r="C30" s="113" t="str">
        <f>'Quadro Geral'!E32</f>
        <v>Manter e Desenvolver as Atividades da Gerência Geral</v>
      </c>
      <c r="D30" s="114">
        <f>'Quadro Geral'!M32</f>
        <v>297835.30526750005</v>
      </c>
      <c r="E30" s="106"/>
      <c r="F30" s="115">
        <v>289245.23526749999</v>
      </c>
      <c r="G30" s="115">
        <v>4025.01</v>
      </c>
      <c r="H30" s="115">
        <v>0</v>
      </c>
      <c r="I30" s="115">
        <v>0</v>
      </c>
      <c r="J30" s="115">
        <v>2282.5300000000002</v>
      </c>
      <c r="K30" s="115">
        <v>2282.5299999999997</v>
      </c>
      <c r="L30" s="115">
        <v>0</v>
      </c>
      <c r="M30" s="115">
        <v>0</v>
      </c>
      <c r="N30" s="115">
        <v>0</v>
      </c>
      <c r="O30" s="116">
        <f t="shared" si="1"/>
        <v>297835.30526750005</v>
      </c>
      <c r="P30" s="115">
        <v>0</v>
      </c>
      <c r="Q30" s="116">
        <f t="shared" si="2"/>
        <v>297835.30526750005</v>
      </c>
      <c r="R30" s="117">
        <f t="shared" si="0"/>
        <v>2.8070784111232983</v>
      </c>
      <c r="S30" s="54" t="b">
        <f t="shared" si="3"/>
        <v>1</v>
      </c>
      <c r="T30" s="118"/>
    </row>
    <row r="31" spans="1:20" ht="157.5" x14ac:dyDescent="0.4">
      <c r="A31" s="111" t="str">
        <f>'Quadro Geral'!A33</f>
        <v>Gerência Geral (Gergel)</v>
      </c>
      <c r="B31" s="112"/>
      <c r="C31" s="113" t="str">
        <f>'Quadro Geral'!E33</f>
        <v>Mudança e Adequações da nova Sede e escritórios descentralizados do CAU/MG</v>
      </c>
      <c r="D31" s="114">
        <f>'Quadro Geral'!M33</f>
        <v>150000</v>
      </c>
      <c r="E31" s="106"/>
      <c r="F31" s="115">
        <v>0</v>
      </c>
      <c r="G31" s="115">
        <v>0</v>
      </c>
      <c r="H31" s="115">
        <v>0</v>
      </c>
      <c r="I31" s="115">
        <v>0</v>
      </c>
      <c r="J31" s="115">
        <v>0</v>
      </c>
      <c r="K31" s="115">
        <v>120000</v>
      </c>
      <c r="L31" s="115">
        <v>0</v>
      </c>
      <c r="M31" s="115">
        <v>0</v>
      </c>
      <c r="N31" s="115">
        <v>0</v>
      </c>
      <c r="O31" s="116">
        <f t="shared" si="1"/>
        <v>120000</v>
      </c>
      <c r="P31" s="115">
        <v>30000</v>
      </c>
      <c r="Q31" s="116">
        <f t="shared" si="2"/>
        <v>150000</v>
      </c>
      <c r="R31" s="117">
        <f t="shared" si="0"/>
        <v>1.4137402592023776</v>
      </c>
      <c r="S31" s="54" t="b">
        <f t="shared" si="3"/>
        <v>1</v>
      </c>
      <c r="T31" s="118"/>
    </row>
    <row r="32" spans="1:20" ht="105" x14ac:dyDescent="0.4">
      <c r="A32" s="111" t="str">
        <f>'Quadro Geral'!A34</f>
        <v>Gerência Jurídica (Gerjur)</v>
      </c>
      <c r="B32" s="112"/>
      <c r="C32" s="113" t="str">
        <f>'Quadro Geral'!E34</f>
        <v>Manter e Desenvolver as Atividades da Gerência Jurídica</v>
      </c>
      <c r="D32" s="114">
        <f>'Quadro Geral'!M34</f>
        <v>568925.20337999996</v>
      </c>
      <c r="E32" s="106"/>
      <c r="F32" s="115">
        <v>484791.41137999995</v>
      </c>
      <c r="G32" s="115">
        <v>2000</v>
      </c>
      <c r="H32" s="115">
        <v>0</v>
      </c>
      <c r="I32" s="115">
        <v>0</v>
      </c>
      <c r="J32" s="115">
        <v>0</v>
      </c>
      <c r="K32" s="115">
        <v>26181.792000000001</v>
      </c>
      <c r="L32" s="115">
        <v>0</v>
      </c>
      <c r="M32" s="115">
        <v>0</v>
      </c>
      <c r="N32" s="115">
        <v>55952</v>
      </c>
      <c r="O32" s="116">
        <f t="shared" si="1"/>
        <v>568925.20337999996</v>
      </c>
      <c r="P32" s="115">
        <v>0</v>
      </c>
      <c r="Q32" s="116">
        <f t="shared" si="2"/>
        <v>568925.20337999996</v>
      </c>
      <c r="R32" s="117">
        <f t="shared" si="0"/>
        <v>5.3620830966213759</v>
      </c>
      <c r="S32" s="54" t="b">
        <f t="shared" si="3"/>
        <v>1</v>
      </c>
      <c r="T32" s="118"/>
    </row>
    <row r="33" spans="1:20" ht="183.75" x14ac:dyDescent="0.4">
      <c r="A33" s="111" t="str">
        <f>'Quadro Geral'!A35</f>
        <v>Gerência Técnica  de Fiscalização (Gertef) - Coordenação Técnica</v>
      </c>
      <c r="B33" s="112"/>
      <c r="C33" s="113" t="str">
        <f>'Quadro Geral'!E35</f>
        <v>Manter e Desenvolver as Atividades de Coordenação Técnica da Gerência Técnica  de Fiscalização</v>
      </c>
      <c r="D33" s="114">
        <f>'Quadro Geral'!M35</f>
        <v>1515569.5165927778</v>
      </c>
      <c r="E33" s="106"/>
      <c r="F33" s="115">
        <v>1429173.8725927777</v>
      </c>
      <c r="G33" s="115">
        <v>3000</v>
      </c>
      <c r="H33" s="115">
        <v>0</v>
      </c>
      <c r="I33" s="115">
        <v>0</v>
      </c>
      <c r="J33" s="115">
        <v>1500</v>
      </c>
      <c r="K33" s="115">
        <v>81895.644</v>
      </c>
      <c r="L33" s="115">
        <v>0</v>
      </c>
      <c r="M33" s="115">
        <v>0</v>
      </c>
      <c r="N33" s="115">
        <v>0</v>
      </c>
      <c r="O33" s="116">
        <f t="shared" si="1"/>
        <v>1515569.5165927778</v>
      </c>
      <c r="P33" s="115">
        <v>0</v>
      </c>
      <c r="Q33" s="116">
        <f t="shared" si="2"/>
        <v>1515569.5165927778</v>
      </c>
      <c r="R33" s="117">
        <f t="shared" si="0"/>
        <v>14.284144274847305</v>
      </c>
      <c r="S33" s="54" t="b">
        <f t="shared" si="3"/>
        <v>1</v>
      </c>
      <c r="T33" s="118"/>
    </row>
    <row r="34" spans="1:20" ht="183.75" x14ac:dyDescent="0.4">
      <c r="A34" s="111" t="str">
        <f>'Quadro Geral'!A36</f>
        <v>Gerência Técnica  de Fiscalização (Gertef) - Coordenação Fiscalização</v>
      </c>
      <c r="B34" s="112"/>
      <c r="C34" s="113" t="str">
        <f>'Quadro Geral'!E36</f>
        <v>Manter e Desenvolver as Atividades de Coordenação da Fiscalização da Gerência Técnica  de Fiscalização</v>
      </c>
      <c r="D34" s="114">
        <f>'Quadro Geral'!M36</f>
        <v>1249489.96</v>
      </c>
      <c r="E34" s="106"/>
      <c r="F34" s="115">
        <v>1190136.8500000001</v>
      </c>
      <c r="G34" s="115">
        <v>5000</v>
      </c>
      <c r="H34" s="115">
        <v>3000</v>
      </c>
      <c r="I34" s="115">
        <v>0</v>
      </c>
      <c r="J34" s="115">
        <v>0</v>
      </c>
      <c r="K34" s="115">
        <v>51069.11</v>
      </c>
      <c r="L34" s="115">
        <v>0</v>
      </c>
      <c r="M34" s="115">
        <v>0</v>
      </c>
      <c r="N34" s="115">
        <v>284</v>
      </c>
      <c r="O34" s="116">
        <f t="shared" si="1"/>
        <v>1249489.9600000002</v>
      </c>
      <c r="P34" s="115">
        <v>0</v>
      </c>
      <c r="Q34" s="116">
        <f t="shared" si="2"/>
        <v>1249489.9600000002</v>
      </c>
      <c r="R34" s="117">
        <f t="shared" si="0"/>
        <v>11.776361732807789</v>
      </c>
      <c r="S34" s="54" t="b">
        <f t="shared" si="3"/>
        <v>1</v>
      </c>
      <c r="T34" s="118"/>
    </row>
    <row r="35" spans="1:20" ht="131.25" x14ac:dyDescent="0.4">
      <c r="A35" s="111" t="str">
        <f>'Quadro Geral'!A37</f>
        <v>Gerência Técnica  de Fiscalização (Gertef) - Rotas</v>
      </c>
      <c r="B35" s="112"/>
      <c r="C35" s="113" t="str">
        <f>'Quadro Geral'!E37</f>
        <v>Fiscalização Itinerante / Rotas</v>
      </c>
      <c r="D35" s="114">
        <f>'Quadro Geral'!M37</f>
        <v>260000.00400000002</v>
      </c>
      <c r="E35" s="106"/>
      <c r="F35" s="115">
        <v>0</v>
      </c>
      <c r="G35" s="115">
        <v>10000</v>
      </c>
      <c r="H35" s="115">
        <v>32000</v>
      </c>
      <c r="I35" s="115">
        <v>0</v>
      </c>
      <c r="J35" s="115">
        <v>40000</v>
      </c>
      <c r="K35" s="115">
        <v>174721.554</v>
      </c>
      <c r="L35" s="115">
        <v>0</v>
      </c>
      <c r="M35" s="115">
        <v>0</v>
      </c>
      <c r="N35" s="115">
        <v>3278.45</v>
      </c>
      <c r="O35" s="116">
        <f t="shared" si="1"/>
        <v>260000.00400000002</v>
      </c>
      <c r="P35" s="115">
        <v>0</v>
      </c>
      <c r="Q35" s="116">
        <f t="shared" si="2"/>
        <v>260000.00400000002</v>
      </c>
      <c r="R35" s="117">
        <f t="shared" si="0"/>
        <v>2.450483153650528</v>
      </c>
      <c r="S35" s="54" t="b">
        <f t="shared" si="3"/>
        <v>1</v>
      </c>
      <c r="T35" s="118"/>
    </row>
    <row r="36" spans="1:20" ht="157.5" x14ac:dyDescent="0.4">
      <c r="A36" s="111" t="str">
        <f>'Quadro Geral'!A38</f>
        <v>Presidência</v>
      </c>
      <c r="B36" s="112"/>
      <c r="C36" s="113" t="str">
        <f>'Quadro Geral'!E38</f>
        <v>Manter e Desenvolver as Atividades da Presidência e dos Conselheiros Federais</v>
      </c>
      <c r="D36" s="114">
        <f>'Quadro Geral'!M38</f>
        <v>80000</v>
      </c>
      <c r="E36" s="106"/>
      <c r="F36" s="115">
        <v>0</v>
      </c>
      <c r="G36" s="115">
        <v>0</v>
      </c>
      <c r="H36" s="115">
        <v>0</v>
      </c>
      <c r="I36" s="115">
        <v>40175</v>
      </c>
      <c r="J36" s="115">
        <v>39825</v>
      </c>
      <c r="K36" s="115">
        <v>0</v>
      </c>
      <c r="L36" s="115">
        <v>0</v>
      </c>
      <c r="M36" s="115">
        <v>0</v>
      </c>
      <c r="N36" s="115">
        <v>0</v>
      </c>
      <c r="O36" s="116">
        <f t="shared" si="1"/>
        <v>80000</v>
      </c>
      <c r="P36" s="115">
        <v>0</v>
      </c>
      <c r="Q36" s="116">
        <f t="shared" si="2"/>
        <v>80000</v>
      </c>
      <c r="R36" s="117">
        <f t="shared" si="0"/>
        <v>0.75399480490793469</v>
      </c>
      <c r="S36" s="54" t="b">
        <f t="shared" si="3"/>
        <v>1</v>
      </c>
      <c r="T36" s="118"/>
    </row>
    <row r="37" spans="1:20" ht="131.25" x14ac:dyDescent="0.4">
      <c r="A37" s="111" t="str">
        <f>'Quadro Geral'!A39</f>
        <v>Presidência</v>
      </c>
      <c r="B37" s="112"/>
      <c r="C37" s="113" t="str">
        <f>'Quadro Geral'!E39</f>
        <v>Manter e Desenvolver as Atividades de Comissões Temporárias</v>
      </c>
      <c r="D37" s="114">
        <f>'Quadro Geral'!M39</f>
        <v>42720</v>
      </c>
      <c r="E37" s="106"/>
      <c r="F37" s="115">
        <v>0</v>
      </c>
      <c r="G37" s="115">
        <v>0</v>
      </c>
      <c r="H37" s="115">
        <v>0</v>
      </c>
      <c r="I37" s="115">
        <v>21360</v>
      </c>
      <c r="J37" s="115">
        <v>21360</v>
      </c>
      <c r="K37" s="115">
        <v>0</v>
      </c>
      <c r="L37" s="115">
        <v>0</v>
      </c>
      <c r="M37" s="115">
        <v>0</v>
      </c>
      <c r="N37" s="115">
        <v>0</v>
      </c>
      <c r="O37" s="116">
        <f t="shared" si="1"/>
        <v>42720</v>
      </c>
      <c r="P37" s="115">
        <v>0</v>
      </c>
      <c r="Q37" s="116">
        <f t="shared" si="2"/>
        <v>42720</v>
      </c>
      <c r="R37" s="117">
        <f t="shared" si="0"/>
        <v>0.4026332258208371</v>
      </c>
      <c r="S37" s="54" t="b">
        <f t="shared" si="3"/>
        <v>1</v>
      </c>
      <c r="T37" s="118"/>
    </row>
    <row r="38" spans="1:20" ht="78.75" x14ac:dyDescent="0.4">
      <c r="A38" s="111" t="str">
        <f>'Quadro Geral'!A40</f>
        <v>Presidência</v>
      </c>
      <c r="B38" s="112"/>
      <c r="C38" s="113" t="str">
        <f>'Quadro Geral'!E40</f>
        <v>Representação Institucional do CAU/MG II</v>
      </c>
      <c r="D38" s="114">
        <f>'Quadro Geral'!M40</f>
        <v>17047.269999999997</v>
      </c>
      <c r="E38" s="106"/>
      <c r="F38" s="115">
        <v>0</v>
      </c>
      <c r="G38" s="115">
        <v>0</v>
      </c>
      <c r="H38" s="115">
        <v>0</v>
      </c>
      <c r="I38" s="115">
        <v>8489.5499999999993</v>
      </c>
      <c r="J38" s="115">
        <v>8557.7199999999993</v>
      </c>
      <c r="K38" s="115">
        <v>0</v>
      </c>
      <c r="L38" s="115">
        <v>0</v>
      </c>
      <c r="M38" s="115">
        <v>0</v>
      </c>
      <c r="N38" s="115">
        <v>0</v>
      </c>
      <c r="O38" s="116">
        <f t="shared" si="1"/>
        <v>17047.269999999997</v>
      </c>
      <c r="P38" s="115">
        <v>0</v>
      </c>
      <c r="Q38" s="116">
        <f t="shared" si="2"/>
        <v>17047.269999999997</v>
      </c>
      <c r="R38" s="117">
        <f t="shared" si="0"/>
        <v>0.16066941272328605</v>
      </c>
      <c r="S38" s="54" t="b">
        <f t="shared" si="3"/>
        <v>1</v>
      </c>
      <c r="T38" s="118"/>
    </row>
    <row r="39" spans="1:20" ht="78.75" x14ac:dyDescent="0.4">
      <c r="A39" s="111" t="str">
        <f>'Quadro Geral'!A41</f>
        <v>Presidência</v>
      </c>
      <c r="B39" s="112"/>
      <c r="C39" s="113" t="str">
        <f>'Quadro Geral'!E41</f>
        <v>Representação Institucional do CAU/MG I</v>
      </c>
      <c r="D39" s="114">
        <f>'Quadro Geral'!M41</f>
        <v>28781.62</v>
      </c>
      <c r="E39" s="106"/>
      <c r="F39" s="115">
        <v>0</v>
      </c>
      <c r="G39" s="115">
        <v>0</v>
      </c>
      <c r="H39" s="115">
        <v>0</v>
      </c>
      <c r="I39" s="115">
        <v>9797.2999999999993</v>
      </c>
      <c r="J39" s="115">
        <v>7164.32</v>
      </c>
      <c r="K39" s="115">
        <v>11820</v>
      </c>
      <c r="L39" s="115">
        <v>0</v>
      </c>
      <c r="M39" s="115">
        <v>0</v>
      </c>
      <c r="N39" s="115">
        <v>0</v>
      </c>
      <c r="O39" s="116">
        <f t="shared" si="1"/>
        <v>28781.62</v>
      </c>
      <c r="P39" s="115">
        <v>0</v>
      </c>
      <c r="Q39" s="116">
        <f t="shared" si="2"/>
        <v>28781.62</v>
      </c>
      <c r="R39" s="117">
        <f t="shared" si="0"/>
        <v>0.27126489946042887</v>
      </c>
      <c r="S39" s="54" t="b">
        <f t="shared" si="3"/>
        <v>1</v>
      </c>
      <c r="T39" s="118"/>
    </row>
    <row r="40" spans="1:20" x14ac:dyDescent="0.4">
      <c r="A40" s="111" t="str">
        <f>'Quadro Geral'!A42</f>
        <v>Presidência</v>
      </c>
      <c r="B40" s="112"/>
      <c r="C40" s="113" t="str">
        <f>'Quadro Geral'!E42</f>
        <v>Capacitações</v>
      </c>
      <c r="D40" s="114">
        <f>'Quadro Geral'!M42</f>
        <v>119283.17</v>
      </c>
      <c r="E40" s="106"/>
      <c r="F40" s="115">
        <v>0</v>
      </c>
      <c r="G40" s="115">
        <v>21049.97</v>
      </c>
      <c r="H40" s="115">
        <v>0</v>
      </c>
      <c r="I40" s="115">
        <v>21049.97</v>
      </c>
      <c r="J40" s="115">
        <v>35083.29</v>
      </c>
      <c r="K40" s="115">
        <v>42099.94</v>
      </c>
      <c r="L40" s="115">
        <v>0</v>
      </c>
      <c r="M40" s="115">
        <v>0</v>
      </c>
      <c r="N40" s="115">
        <v>0</v>
      </c>
      <c r="O40" s="116">
        <f t="shared" si="1"/>
        <v>119283.17000000001</v>
      </c>
      <c r="P40" s="115">
        <v>0</v>
      </c>
      <c r="Q40" s="116">
        <f t="shared" si="2"/>
        <v>119283.17000000001</v>
      </c>
      <c r="R40" s="117">
        <f t="shared" si="0"/>
        <v>1.1242361311618754</v>
      </c>
      <c r="S40" s="54" t="b">
        <f t="shared" si="3"/>
        <v>1</v>
      </c>
      <c r="T40" s="118"/>
    </row>
    <row r="41" spans="1:20" ht="131.25" x14ac:dyDescent="0.4">
      <c r="A41" s="111" t="str">
        <f>'Quadro Geral'!A43</f>
        <v>Presidência</v>
      </c>
      <c r="B41" s="112"/>
      <c r="C41" s="113" t="str">
        <f>'Quadro Geral'!E43</f>
        <v>Edital de Patrocínio modalidade Patrimônio Cultural</v>
      </c>
      <c r="D41" s="114">
        <f>'Quadro Geral'!M43</f>
        <v>150000</v>
      </c>
      <c r="E41" s="106"/>
      <c r="F41" s="115">
        <v>0</v>
      </c>
      <c r="G41" s="115">
        <v>0</v>
      </c>
      <c r="H41" s="115">
        <v>0</v>
      </c>
      <c r="I41" s="115">
        <v>0</v>
      </c>
      <c r="J41" s="115">
        <v>0</v>
      </c>
      <c r="K41" s="115">
        <v>0</v>
      </c>
      <c r="L41" s="115">
        <v>150000</v>
      </c>
      <c r="M41" s="115">
        <v>0</v>
      </c>
      <c r="N41" s="115">
        <v>0</v>
      </c>
      <c r="O41" s="116">
        <f t="shared" si="1"/>
        <v>150000</v>
      </c>
      <c r="P41" s="115">
        <v>0</v>
      </c>
      <c r="Q41" s="116">
        <f t="shared" si="2"/>
        <v>150000</v>
      </c>
      <c r="R41" s="117">
        <f t="shared" ref="R41:R45" si="4">IFERROR(Q41/$Q$46*100,0)</f>
        <v>1.4137402592023776</v>
      </c>
      <c r="S41" s="54" t="b">
        <f t="shared" si="3"/>
        <v>1</v>
      </c>
      <c r="T41" s="118"/>
    </row>
    <row r="42" spans="1:20" ht="183.75" x14ac:dyDescent="0.4">
      <c r="A42" s="111" t="str">
        <f>'Quadro Geral'!A44</f>
        <v>Presidência</v>
      </c>
      <c r="B42" s="112"/>
      <c r="C42" s="113" t="str">
        <f>'Quadro Geral'!E44</f>
        <v>Edital de Patrocínio - Assistência Técnica para Habitação de Interesse Social (Athis)</v>
      </c>
      <c r="D42" s="114">
        <f>'Quadro Geral'!M44</f>
        <v>300000</v>
      </c>
      <c r="E42" s="106"/>
      <c r="F42" s="115">
        <v>0</v>
      </c>
      <c r="G42" s="115">
        <v>0</v>
      </c>
      <c r="H42" s="115">
        <v>0</v>
      </c>
      <c r="I42" s="115">
        <v>0</v>
      </c>
      <c r="J42" s="115">
        <v>0</v>
      </c>
      <c r="K42" s="115">
        <v>0</v>
      </c>
      <c r="L42" s="115">
        <v>300000</v>
      </c>
      <c r="M42" s="115">
        <v>0</v>
      </c>
      <c r="N42" s="115">
        <v>0</v>
      </c>
      <c r="O42" s="116">
        <f t="shared" si="1"/>
        <v>300000</v>
      </c>
      <c r="P42" s="115">
        <v>0</v>
      </c>
      <c r="Q42" s="116">
        <f t="shared" si="2"/>
        <v>300000</v>
      </c>
      <c r="R42" s="117">
        <f t="shared" si="4"/>
        <v>2.8274805184047551</v>
      </c>
      <c r="S42" s="54" t="b">
        <f t="shared" si="3"/>
        <v>1</v>
      </c>
      <c r="T42" s="118"/>
    </row>
    <row r="43" spans="1:20" ht="105" x14ac:dyDescent="0.4">
      <c r="A43" s="111" t="str">
        <f>'Quadro Geral'!A45</f>
        <v>Secretaria Geral</v>
      </c>
      <c r="B43" s="112"/>
      <c r="C43" s="113" t="str">
        <f>'Quadro Geral'!E45</f>
        <v>Manter e Desenvolver as Atividades da Secretaria Geral</v>
      </c>
      <c r="D43" s="114">
        <f>'Quadro Geral'!M45</f>
        <v>327792.77593</v>
      </c>
      <c r="E43" s="106"/>
      <c r="F43" s="115">
        <v>293288.85592999996</v>
      </c>
      <c r="G43" s="115">
        <v>1978.55</v>
      </c>
      <c r="H43" s="115">
        <v>0</v>
      </c>
      <c r="I43" s="115">
        <v>0</v>
      </c>
      <c r="J43" s="115">
        <v>0</v>
      </c>
      <c r="K43" s="115">
        <v>32525.37</v>
      </c>
      <c r="L43" s="115">
        <v>0</v>
      </c>
      <c r="M43" s="115">
        <v>0</v>
      </c>
      <c r="N43" s="115">
        <v>0</v>
      </c>
      <c r="O43" s="116">
        <f t="shared" si="1"/>
        <v>327792.77592999995</v>
      </c>
      <c r="P43" s="115">
        <v>0</v>
      </c>
      <c r="Q43" s="116">
        <f t="shared" si="2"/>
        <v>327792.77592999995</v>
      </c>
      <c r="R43" s="117">
        <f t="shared" si="4"/>
        <v>3.0894256267196334</v>
      </c>
      <c r="S43" s="54" t="b">
        <f t="shared" si="3"/>
        <v>1</v>
      </c>
      <c r="T43" s="118"/>
    </row>
    <row r="44" spans="1:20" ht="105" x14ac:dyDescent="0.4">
      <c r="A44" s="111" t="str">
        <f>'Quadro Geral'!A46</f>
        <v>Presidência</v>
      </c>
      <c r="B44" s="112"/>
      <c r="C44" s="113" t="str">
        <f>'Quadro Geral'!E46</f>
        <v>Edital de Patrocínio Modalidade Política Urbana</v>
      </c>
      <c r="D44" s="114">
        <f>'Quadro Geral'!M46</f>
        <v>150000</v>
      </c>
      <c r="E44" s="106"/>
      <c r="F44" s="115">
        <v>0</v>
      </c>
      <c r="G44" s="115">
        <v>0</v>
      </c>
      <c r="H44" s="115">
        <v>0</v>
      </c>
      <c r="I44" s="115">
        <v>0</v>
      </c>
      <c r="J44" s="115">
        <v>0</v>
      </c>
      <c r="K44" s="115">
        <v>0</v>
      </c>
      <c r="L44" s="115">
        <v>150000</v>
      </c>
      <c r="M44" s="115">
        <v>0</v>
      </c>
      <c r="N44" s="115">
        <v>0</v>
      </c>
      <c r="O44" s="116">
        <f t="shared" si="1"/>
        <v>150000</v>
      </c>
      <c r="P44" s="115">
        <v>0</v>
      </c>
      <c r="Q44" s="116">
        <f t="shared" si="2"/>
        <v>150000</v>
      </c>
      <c r="R44" s="117">
        <f t="shared" si="4"/>
        <v>1.4137402592023776</v>
      </c>
      <c r="S44" s="54" t="b">
        <f t="shared" si="3"/>
        <v>1</v>
      </c>
      <c r="T44" s="118"/>
    </row>
    <row r="45" spans="1:20" ht="52.5" x14ac:dyDescent="0.4">
      <c r="A45" s="111" t="str">
        <f>'Quadro Geral'!A47</f>
        <v>Presidência</v>
      </c>
      <c r="B45" s="112"/>
      <c r="C45" s="113" t="str">
        <f>'Quadro Geral'!E47</f>
        <v>Edital de Apoio Institucional</v>
      </c>
      <c r="D45" s="114">
        <f>'Quadro Geral'!M47</f>
        <v>22800</v>
      </c>
      <c r="E45" s="106"/>
      <c r="F45" s="115">
        <v>0</v>
      </c>
      <c r="G45" s="115">
        <v>0</v>
      </c>
      <c r="H45" s="115">
        <v>0</v>
      </c>
      <c r="I45" s="115">
        <v>0</v>
      </c>
      <c r="J45" s="115">
        <v>0</v>
      </c>
      <c r="K45" s="115">
        <v>0</v>
      </c>
      <c r="L45" s="115">
        <v>22800</v>
      </c>
      <c r="M45" s="115">
        <v>0</v>
      </c>
      <c r="N45" s="115">
        <v>0</v>
      </c>
      <c r="O45" s="116">
        <f t="shared" si="1"/>
        <v>22800</v>
      </c>
      <c r="P45" s="115">
        <v>0</v>
      </c>
      <c r="Q45" s="116">
        <f t="shared" si="2"/>
        <v>22800</v>
      </c>
      <c r="R45" s="117">
        <f t="shared" si="4"/>
        <v>0.21488851939876139</v>
      </c>
      <c r="S45" s="54" t="b">
        <f t="shared" si="3"/>
        <v>1</v>
      </c>
      <c r="T45" s="118"/>
    </row>
    <row r="46" spans="1:20" s="122" customFormat="1" x14ac:dyDescent="0.4">
      <c r="A46" s="735" t="s">
        <v>52</v>
      </c>
      <c r="B46" s="735"/>
      <c r="C46" s="735"/>
      <c r="D46" s="119">
        <f>SUM(D7:D45)</f>
        <v>10610152.679999998</v>
      </c>
      <c r="E46" s="106"/>
      <c r="F46" s="120">
        <f t="shared" ref="F46:Q46" si="5">SUM(F7:F45)</f>
        <v>5729599.940876388</v>
      </c>
      <c r="G46" s="120">
        <f t="shared" si="5"/>
        <v>55429.420000000006</v>
      </c>
      <c r="H46" s="120">
        <f t="shared" si="5"/>
        <v>104979.14</v>
      </c>
      <c r="I46" s="120">
        <f t="shared" si="5"/>
        <v>378730.19999999995</v>
      </c>
      <c r="J46" s="120">
        <f t="shared" si="5"/>
        <v>405453.74999999994</v>
      </c>
      <c r="K46" s="120">
        <f t="shared" si="5"/>
        <v>1634938.1131236118</v>
      </c>
      <c r="L46" s="120">
        <f t="shared" si="5"/>
        <v>1720406.24</v>
      </c>
      <c r="M46" s="120">
        <f t="shared" si="5"/>
        <v>80000</v>
      </c>
      <c r="N46" s="120">
        <f t="shared" si="5"/>
        <v>372309.97599999997</v>
      </c>
      <c r="O46" s="120">
        <f t="shared" si="5"/>
        <v>10481846.779999999</v>
      </c>
      <c r="P46" s="120">
        <f t="shared" si="5"/>
        <v>128305.9</v>
      </c>
      <c r="Q46" s="120">
        <f t="shared" si="5"/>
        <v>10610152.68</v>
      </c>
      <c r="R46" s="736">
        <f>SUM(R7:R40)</f>
        <v>91.040724817072089</v>
      </c>
      <c r="S46" s="54" t="b">
        <f t="shared" si="3"/>
        <v>1</v>
      </c>
      <c r="T46" s="121"/>
    </row>
    <row r="47" spans="1:20" s="122" customFormat="1" x14ac:dyDescent="0.4">
      <c r="A47" s="735" t="s">
        <v>48</v>
      </c>
      <c r="B47" s="735"/>
      <c r="C47" s="735"/>
      <c r="D47" s="735"/>
      <c r="E47" s="106"/>
      <c r="F47" s="123">
        <f>IFERROR(F46/$Q46*100,0)</f>
        <v>54.001107370270077</v>
      </c>
      <c r="G47" s="123">
        <f t="shared" ref="G47:Q47" si="6">IFERROR(G46/$Q46*100,0)</f>
        <v>0.52241868398824975</v>
      </c>
      <c r="H47" s="123">
        <f t="shared" si="6"/>
        <v>0.98942157729628444</v>
      </c>
      <c r="I47" s="123">
        <f t="shared" si="6"/>
        <v>3.569507540771788</v>
      </c>
      <c r="J47" s="123">
        <f t="shared" si="6"/>
        <v>3.8213752641305061</v>
      </c>
      <c r="K47" s="123">
        <f t="shared" si="6"/>
        <v>15.409185545514806</v>
      </c>
      <c r="L47" s="123">
        <f t="shared" si="6"/>
        <v>16.214717091139917</v>
      </c>
      <c r="M47" s="123">
        <f t="shared" si="6"/>
        <v>0.75399480490793469</v>
      </c>
      <c r="N47" s="123">
        <f t="shared" si="6"/>
        <v>3.5089973464924729</v>
      </c>
      <c r="O47" s="123">
        <f t="shared" si="6"/>
        <v>98.79072522451203</v>
      </c>
      <c r="P47" s="123">
        <f t="shared" si="6"/>
        <v>1.2092747754879623</v>
      </c>
      <c r="Q47" s="123">
        <f t="shared" si="6"/>
        <v>100</v>
      </c>
      <c r="R47" s="736"/>
      <c r="T47" s="121"/>
    </row>
    <row r="48" spans="1:20" s="124" customFormat="1" x14ac:dyDescent="0.4">
      <c r="B48" s="125"/>
      <c r="C48" s="125"/>
      <c r="D48" s="54" t="b">
        <f>D46='Anexo 1. Fontes e Aplicações'!F37</f>
        <v>1</v>
      </c>
      <c r="E48" s="106"/>
      <c r="F48" s="54" t="b">
        <f>F46='Anexo 2. Limites Estratégicos'!O5</f>
        <v>1</v>
      </c>
      <c r="H48" s="125" t="s">
        <v>186</v>
      </c>
      <c r="I48" s="125"/>
      <c r="J48" s="125"/>
      <c r="K48" s="125"/>
      <c r="L48" s="125"/>
      <c r="M48" s="125"/>
      <c r="N48" s="125"/>
      <c r="O48" s="125"/>
      <c r="P48" s="54" t="b">
        <f>P46='Anexo 1. Fontes e Aplicações'!B51</f>
        <v>1</v>
      </c>
      <c r="Q48" s="125" t="b">
        <f>D46=Q46</f>
        <v>1</v>
      </c>
      <c r="R48" s="125"/>
      <c r="T48" s="118"/>
    </row>
    <row r="49" spans="1:20" s="124" customFormat="1" x14ac:dyDescent="0.4">
      <c r="A49" s="126"/>
      <c r="B49" s="126"/>
      <c r="C49" s="126"/>
      <c r="D49" s="126"/>
      <c r="E49" s="126"/>
      <c r="F49" s="126"/>
      <c r="G49" s="126"/>
      <c r="H49" s="126"/>
      <c r="I49" s="126"/>
      <c r="J49" s="126"/>
      <c r="K49" s="126"/>
      <c r="L49" s="126"/>
      <c r="M49" s="126"/>
      <c r="N49" s="126"/>
      <c r="O49" s="126"/>
      <c r="P49" s="349"/>
      <c r="Q49" s="126"/>
      <c r="R49" s="126"/>
      <c r="T49" s="118"/>
    </row>
    <row r="50" spans="1:20" s="124" customFormat="1" x14ac:dyDescent="0.4">
      <c r="A50" s="737" t="s">
        <v>210</v>
      </c>
      <c r="B50" s="738"/>
      <c r="C50" s="738"/>
      <c r="D50" s="738"/>
      <c r="E50" s="738"/>
      <c r="F50" s="738"/>
      <c r="G50" s="738"/>
      <c r="H50" s="738"/>
      <c r="I50" s="738"/>
      <c r="J50" s="738"/>
      <c r="K50" s="738"/>
      <c r="L50" s="738"/>
      <c r="M50" s="738"/>
      <c r="N50" s="738"/>
      <c r="O50" s="738"/>
      <c r="P50" s="738"/>
      <c r="Q50" s="738"/>
      <c r="R50" s="739"/>
      <c r="T50" s="118"/>
    </row>
    <row r="51" spans="1:20" s="124" customFormat="1" ht="25.5" x14ac:dyDescent="0.35">
      <c r="A51" s="725" t="s">
        <v>282</v>
      </c>
      <c r="B51" s="726"/>
      <c r="C51" s="726"/>
      <c r="D51" s="726"/>
      <c r="E51" s="726"/>
      <c r="F51" s="726"/>
      <c r="G51" s="726"/>
      <c r="H51" s="726"/>
      <c r="I51" s="726"/>
      <c r="J51" s="726"/>
      <c r="K51" s="726"/>
      <c r="L51" s="726"/>
      <c r="M51" s="726"/>
      <c r="N51" s="726"/>
      <c r="O51" s="726"/>
      <c r="P51" s="726"/>
      <c r="Q51" s="726"/>
      <c r="R51" s="727"/>
    </row>
    <row r="52" spans="1:20" s="124" customFormat="1" ht="25.5" x14ac:dyDescent="0.35">
      <c r="A52" s="728"/>
      <c r="B52" s="729"/>
      <c r="C52" s="729"/>
      <c r="D52" s="729"/>
      <c r="E52" s="729"/>
      <c r="F52" s="729"/>
      <c r="G52" s="729"/>
      <c r="H52" s="729"/>
      <c r="I52" s="729"/>
      <c r="J52" s="729"/>
      <c r="K52" s="729"/>
      <c r="L52" s="729"/>
      <c r="M52" s="729"/>
      <c r="N52" s="729"/>
      <c r="O52" s="729"/>
      <c r="P52" s="729"/>
      <c r="Q52" s="729"/>
      <c r="R52" s="730"/>
    </row>
    <row r="53" spans="1:20" s="124" customFormat="1" ht="25.5" x14ac:dyDescent="0.35">
      <c r="A53" s="728"/>
      <c r="B53" s="729"/>
      <c r="C53" s="729"/>
      <c r="D53" s="729"/>
      <c r="E53" s="729"/>
      <c r="F53" s="729"/>
      <c r="G53" s="729"/>
      <c r="H53" s="729"/>
      <c r="I53" s="729"/>
      <c r="J53" s="729"/>
      <c r="K53" s="729"/>
      <c r="L53" s="729"/>
      <c r="M53" s="729"/>
      <c r="N53" s="729"/>
      <c r="O53" s="729"/>
      <c r="P53" s="729"/>
      <c r="Q53" s="729"/>
      <c r="R53" s="730"/>
    </row>
    <row r="54" spans="1:20" s="124" customFormat="1" ht="25.5" x14ac:dyDescent="0.35">
      <c r="A54" s="728"/>
      <c r="B54" s="729"/>
      <c r="C54" s="729"/>
      <c r="D54" s="729"/>
      <c r="E54" s="729"/>
      <c r="F54" s="729"/>
      <c r="G54" s="729"/>
      <c r="H54" s="729"/>
      <c r="I54" s="729"/>
      <c r="J54" s="729"/>
      <c r="K54" s="729"/>
      <c r="L54" s="729"/>
      <c r="M54" s="729"/>
      <c r="N54" s="729"/>
      <c r="O54" s="729"/>
      <c r="P54" s="729"/>
      <c r="Q54" s="729"/>
      <c r="R54" s="730"/>
    </row>
    <row r="55" spans="1:20" s="124" customFormat="1" ht="25.5" x14ac:dyDescent="0.35">
      <c r="A55" s="728"/>
      <c r="B55" s="729"/>
      <c r="C55" s="729"/>
      <c r="D55" s="729"/>
      <c r="E55" s="729"/>
      <c r="F55" s="729"/>
      <c r="G55" s="729"/>
      <c r="H55" s="729"/>
      <c r="I55" s="729"/>
      <c r="J55" s="729"/>
      <c r="K55" s="729"/>
      <c r="L55" s="729"/>
      <c r="M55" s="729"/>
      <c r="N55" s="729"/>
      <c r="O55" s="729"/>
      <c r="P55" s="729"/>
      <c r="Q55" s="729"/>
      <c r="R55" s="730"/>
    </row>
    <row r="56" spans="1:20" s="124" customFormat="1" ht="25.5" x14ac:dyDescent="0.35">
      <c r="A56" s="728"/>
      <c r="B56" s="729"/>
      <c r="C56" s="729"/>
      <c r="D56" s="729"/>
      <c r="E56" s="729"/>
      <c r="F56" s="729"/>
      <c r="G56" s="729"/>
      <c r="H56" s="729"/>
      <c r="I56" s="729"/>
      <c r="J56" s="729"/>
      <c r="K56" s="729"/>
      <c r="L56" s="729"/>
      <c r="M56" s="729"/>
      <c r="N56" s="729"/>
      <c r="O56" s="729"/>
      <c r="P56" s="729"/>
      <c r="Q56" s="729"/>
      <c r="R56" s="730"/>
    </row>
    <row r="57" spans="1:20" s="124" customFormat="1" ht="25.5" x14ac:dyDescent="0.35">
      <c r="A57" s="728"/>
      <c r="B57" s="729"/>
      <c r="C57" s="729"/>
      <c r="D57" s="729"/>
      <c r="E57" s="729"/>
      <c r="F57" s="729"/>
      <c r="G57" s="729"/>
      <c r="H57" s="729"/>
      <c r="I57" s="729"/>
      <c r="J57" s="729"/>
      <c r="K57" s="729"/>
      <c r="L57" s="729"/>
      <c r="M57" s="729"/>
      <c r="N57" s="729"/>
      <c r="O57" s="729"/>
      <c r="P57" s="729"/>
      <c r="Q57" s="729"/>
      <c r="R57" s="730"/>
    </row>
    <row r="58" spans="1:20" s="127" customFormat="1" ht="25.5" x14ac:dyDescent="0.35">
      <c r="A58" s="728"/>
      <c r="B58" s="729"/>
      <c r="C58" s="729"/>
      <c r="D58" s="729"/>
      <c r="E58" s="729"/>
      <c r="F58" s="729"/>
      <c r="G58" s="729"/>
      <c r="H58" s="729"/>
      <c r="I58" s="729"/>
      <c r="J58" s="729"/>
      <c r="K58" s="729"/>
      <c r="L58" s="729"/>
      <c r="M58" s="729"/>
      <c r="N58" s="729"/>
      <c r="O58" s="729"/>
      <c r="P58" s="729"/>
      <c r="Q58" s="729"/>
      <c r="R58" s="730"/>
    </row>
    <row r="59" spans="1:20" x14ac:dyDescent="0.4">
      <c r="A59" s="728"/>
      <c r="B59" s="729"/>
      <c r="C59" s="729"/>
      <c r="D59" s="729"/>
      <c r="E59" s="729"/>
      <c r="F59" s="729"/>
      <c r="G59" s="729"/>
      <c r="H59" s="729"/>
      <c r="I59" s="729"/>
      <c r="J59" s="729"/>
      <c r="K59" s="729"/>
      <c r="L59" s="729"/>
      <c r="M59" s="729"/>
      <c r="N59" s="729"/>
      <c r="O59" s="729"/>
      <c r="P59" s="729"/>
      <c r="Q59" s="729"/>
      <c r="R59" s="730"/>
    </row>
    <row r="60" spans="1:20" x14ac:dyDescent="0.4">
      <c r="A60" s="731"/>
      <c r="B60" s="732"/>
      <c r="C60" s="732"/>
      <c r="D60" s="732"/>
      <c r="E60" s="732"/>
      <c r="F60" s="732"/>
      <c r="G60" s="732"/>
      <c r="H60" s="732"/>
      <c r="I60" s="732"/>
      <c r="J60" s="732"/>
      <c r="K60" s="732"/>
      <c r="L60" s="732"/>
      <c r="M60" s="732"/>
      <c r="N60" s="732"/>
      <c r="O60" s="732"/>
      <c r="P60" s="732"/>
      <c r="Q60" s="732"/>
      <c r="R60" s="733"/>
    </row>
  </sheetData>
  <mergeCells count="23">
    <mergeCell ref="A2:R2"/>
    <mergeCell ref="A3:R3"/>
    <mergeCell ref="A5:A6"/>
    <mergeCell ref="B5:B6"/>
    <mergeCell ref="C5:C6"/>
    <mergeCell ref="D5:D6"/>
    <mergeCell ref="F5:G5"/>
    <mergeCell ref="H5:H6"/>
    <mergeCell ref="I5:K5"/>
    <mergeCell ref="L5:L6"/>
    <mergeCell ref="A51:R60"/>
    <mergeCell ref="S5:S6"/>
    <mergeCell ref="T6:AB6"/>
    <mergeCell ref="A46:C46"/>
    <mergeCell ref="R46:R47"/>
    <mergeCell ref="A47:D47"/>
    <mergeCell ref="A50:R50"/>
    <mergeCell ref="M5:M6"/>
    <mergeCell ref="N5:N6"/>
    <mergeCell ref="O5:O6"/>
    <mergeCell ref="P5:P6"/>
    <mergeCell ref="Q5:Q6"/>
    <mergeCell ref="R5:R6"/>
  </mergeCells>
  <conditionalFormatting sqref="S7:S46">
    <cfRule type="cellIs" dxfId="4" priority="5" operator="equal">
      <formula>TRUE</formula>
    </cfRule>
  </conditionalFormatting>
  <conditionalFormatting sqref="D48">
    <cfRule type="cellIs" dxfId="3" priority="4" operator="equal">
      <formula>TRUE</formula>
    </cfRule>
  </conditionalFormatting>
  <conditionalFormatting sqref="F48">
    <cfRule type="cellIs" dxfId="2" priority="3" operator="equal">
      <formula>TRUE</formula>
    </cfRule>
  </conditionalFormatting>
  <conditionalFormatting sqref="P48">
    <cfRule type="cellIs" dxfId="1" priority="2" operator="equal">
      <formula>TRUE</formula>
    </cfRule>
  </conditionalFormatting>
  <conditionalFormatting sqref="Q48">
    <cfRule type="cellIs" dxfId="0" priority="1" operator="greaterThan">
      <formula>"v"</formula>
    </cfRule>
  </conditionalFormatting>
  <pageMargins left="0.51181102362204722" right="0.51181102362204722" top="0.78740157480314965" bottom="0.78740157480314965" header="0.31496062992125984" footer="0.31496062992125984"/>
  <pageSetup scale="45" orientation="landscape"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12</vt:i4>
      </vt:variant>
      <vt:variant>
        <vt:lpstr>Intervalos Nomeados</vt:lpstr>
      </vt:variant>
      <vt:variant>
        <vt:i4>7</vt:i4>
      </vt:variant>
    </vt:vector>
  </HeadingPairs>
  <TitlesOfParts>
    <vt:vector size="19" baseType="lpstr">
      <vt:lpstr>Resumo (2)</vt:lpstr>
      <vt:lpstr>Tabela Resumo</vt:lpstr>
      <vt:lpstr>Orientações Iniciais</vt:lpstr>
      <vt:lpstr>Mapa Estratégico e ODS </vt:lpstr>
      <vt:lpstr>Indicadores e Metas</vt:lpstr>
      <vt:lpstr>Quadro Geral</vt:lpstr>
      <vt:lpstr>Anexo 1. Fontes e Aplicações</vt:lpstr>
      <vt:lpstr>Anexo 2. Limites Estratégicos</vt:lpstr>
      <vt:lpstr>Anexo 3. Elemento de Despesas</vt:lpstr>
      <vt:lpstr>Anexo 4.Quadro Descritivo.</vt:lpstr>
      <vt:lpstr>Resumo</vt:lpstr>
      <vt:lpstr>AÇÕES ESTRATÉGICAS - DESCRIÇÃO</vt:lpstr>
      <vt:lpstr>'Anexo 1. Fontes e Aplicações'!Area_de_impressao</vt:lpstr>
      <vt:lpstr>'Anexo 2. Limites Estratégicos'!Area_de_impressao</vt:lpstr>
      <vt:lpstr>'Indicadores e Metas'!Area_de_impressao</vt:lpstr>
      <vt:lpstr>'Mapa Estratégico e ODS '!Area_de_impressao</vt:lpstr>
      <vt:lpstr>'Quadro Geral'!Area_de_impressao</vt:lpstr>
      <vt:lpstr>'Indicadores e Metas'!Titulos_de_impressao</vt:lpstr>
      <vt:lpstr>'Quadro Geral'!Titulos_de_impressao</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Flavia Rios Costa</dc:creator>
  <cp:lastModifiedBy>User</cp:lastModifiedBy>
  <cp:lastPrinted>2021-08-18T14:06:09Z</cp:lastPrinted>
  <dcterms:created xsi:type="dcterms:W3CDTF">2013-07-30T15:20:59Z</dcterms:created>
  <dcterms:modified xsi:type="dcterms:W3CDTF">2021-08-27T15:03:25Z</dcterms:modified>
</cp:coreProperties>
</file>